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160" windowHeight="7770" tabRatio="712" activeTab="5"/>
  </bookViews>
  <sheets>
    <sheet name="2012" sheetId="17" r:id="rId1"/>
    <sheet name="חצי שנתי 13 " sheetId="21" r:id="rId2"/>
    <sheet name="רבעון 1 -13" sheetId="16" r:id="rId3"/>
    <sheet name="השוואת 2012 לרבעון ראשון 13" sheetId="19" r:id="rId4"/>
    <sheet name="נתוני השוואה 1" sheetId="18" r:id="rId5"/>
    <sheet name="זרמי הכנסות לפי קהל יעד" sheetId="15" r:id="rId6"/>
  </sheets>
  <calcPr calcId="145621"/>
</workbook>
</file>

<file path=xl/calcChain.xml><?xml version="1.0" encoding="utf-8"?>
<calcChain xmlns="http://schemas.openxmlformats.org/spreadsheetml/2006/main">
  <c r="J13" i="15" l="1"/>
  <c r="J14" i="15"/>
  <c r="J15" i="15"/>
  <c r="J16" i="15"/>
  <c r="J17" i="15"/>
  <c r="J18" i="15"/>
  <c r="J19" i="15"/>
  <c r="J20" i="15"/>
  <c r="J21" i="15"/>
  <c r="H13" i="15"/>
  <c r="H14" i="15"/>
  <c r="H15" i="15"/>
  <c r="H16" i="15"/>
  <c r="H17" i="15"/>
  <c r="H18" i="15"/>
  <c r="H19" i="15"/>
  <c r="H20" i="15"/>
  <c r="H21" i="15"/>
  <c r="G13" i="15"/>
  <c r="G14" i="15"/>
  <c r="G15" i="15"/>
  <c r="G16" i="15"/>
  <c r="G17" i="15"/>
  <c r="G18" i="15"/>
  <c r="G19" i="15"/>
  <c r="G20" i="15"/>
  <c r="G21" i="15"/>
  <c r="G6" i="16" l="1"/>
  <c r="G6" i="21"/>
  <c r="G15" i="21" s="1"/>
  <c r="H15" i="21" s="1"/>
  <c r="G12" i="21"/>
  <c r="H12" i="21" s="1"/>
  <c r="E12" i="21"/>
  <c r="F12" i="21" s="1"/>
  <c r="G11" i="21"/>
  <c r="H11" i="21" s="1"/>
  <c r="E11" i="21"/>
  <c r="K13" i="21"/>
  <c r="L13" i="21" s="1"/>
  <c r="I13" i="21"/>
  <c r="I6" i="21" s="1"/>
  <c r="G13" i="21"/>
  <c r="H13" i="21" s="1"/>
  <c r="E13" i="21"/>
  <c r="C8" i="21"/>
  <c r="C7" i="21"/>
  <c r="C5" i="21"/>
  <c r="D13" i="21" s="1"/>
  <c r="O41" i="21"/>
  <c r="M41" i="21"/>
  <c r="K41" i="21"/>
  <c r="I41" i="21"/>
  <c r="G41" i="21"/>
  <c r="E41" i="21"/>
  <c r="C36" i="21"/>
  <c r="C23" i="21"/>
  <c r="F17" i="21"/>
  <c r="E17" i="21"/>
  <c r="C17" i="21"/>
  <c r="K17" i="21" s="1"/>
  <c r="L17" i="21" s="1"/>
  <c r="P16" i="21"/>
  <c r="N16" i="21"/>
  <c r="L16" i="21"/>
  <c r="J16" i="21"/>
  <c r="H16" i="21"/>
  <c r="F16" i="21"/>
  <c r="D16" i="21"/>
  <c r="M15" i="21"/>
  <c r="N15" i="21" s="1"/>
  <c r="P14" i="21"/>
  <c r="N14" i="21"/>
  <c r="L14" i="21"/>
  <c r="J14" i="21"/>
  <c r="H14" i="21"/>
  <c r="F14" i="21"/>
  <c r="P13" i="21"/>
  <c r="N13" i="21"/>
  <c r="F13" i="21"/>
  <c r="P12" i="21"/>
  <c r="N12" i="21"/>
  <c r="L12" i="21"/>
  <c r="J12" i="21"/>
  <c r="P11" i="21"/>
  <c r="N11" i="21"/>
  <c r="L11" i="21"/>
  <c r="J11" i="21"/>
  <c r="P10" i="21"/>
  <c r="N10" i="21"/>
  <c r="L10" i="21"/>
  <c r="J10" i="21"/>
  <c r="H10" i="21"/>
  <c r="F10" i="21"/>
  <c r="P9" i="21"/>
  <c r="N9" i="21"/>
  <c r="L9" i="21"/>
  <c r="J9" i="21"/>
  <c r="H9" i="21"/>
  <c r="F9" i="21"/>
  <c r="P8" i="21"/>
  <c r="N8" i="21"/>
  <c r="L8" i="21"/>
  <c r="J8" i="21"/>
  <c r="H8" i="21"/>
  <c r="F8" i="21"/>
  <c r="P7" i="21"/>
  <c r="N7" i="21"/>
  <c r="L7" i="21"/>
  <c r="J7" i="21"/>
  <c r="H7" i="21"/>
  <c r="F7" i="21"/>
  <c r="O6" i="21"/>
  <c r="P6" i="21" s="1"/>
  <c r="M6" i="21"/>
  <c r="N6" i="21" s="1"/>
  <c r="P5" i="21"/>
  <c r="N5" i="21"/>
  <c r="L5" i="21"/>
  <c r="J5" i="21"/>
  <c r="H5" i="21"/>
  <c r="F5" i="21"/>
  <c r="L11" i="16"/>
  <c r="P11" i="16"/>
  <c r="N11" i="16"/>
  <c r="J11" i="16"/>
  <c r="F11" i="16"/>
  <c r="H11" i="16"/>
  <c r="F7" i="16"/>
  <c r="F8" i="16"/>
  <c r="I3" i="19"/>
  <c r="N11" i="19"/>
  <c r="K5" i="16"/>
  <c r="H6" i="21" l="1"/>
  <c r="C16" i="21"/>
  <c r="O16" i="21" s="1"/>
  <c r="O17" i="21"/>
  <c r="P17" i="21" s="1"/>
  <c r="M17" i="21"/>
  <c r="N17" i="21" s="1"/>
  <c r="I17" i="21"/>
  <c r="J17" i="21" s="1"/>
  <c r="G17" i="21"/>
  <c r="H17" i="21" s="1"/>
  <c r="K6" i="21"/>
  <c r="K15" i="21" s="1"/>
  <c r="L15" i="21" s="1"/>
  <c r="I15" i="21"/>
  <c r="J15" i="21" s="1"/>
  <c r="J6" i="21"/>
  <c r="J13" i="21"/>
  <c r="C41" i="21"/>
  <c r="D14" i="21"/>
  <c r="D5" i="21"/>
  <c r="D10" i="21"/>
  <c r="D12" i="21"/>
  <c r="D7" i="21"/>
  <c r="D8" i="21"/>
  <c r="D17" i="21"/>
  <c r="D9" i="21"/>
  <c r="O15" i="21"/>
  <c r="K15" i="19"/>
  <c r="U15" i="19" s="1"/>
  <c r="J15" i="19"/>
  <c r="T15" i="19" s="1"/>
  <c r="I15" i="19"/>
  <c r="S15" i="19" s="1"/>
  <c r="K13" i="19"/>
  <c r="U13" i="19" s="1"/>
  <c r="J13" i="19"/>
  <c r="T13" i="19" s="1"/>
  <c r="I13" i="19"/>
  <c r="S13" i="19" s="1"/>
  <c r="K11" i="19"/>
  <c r="J11" i="19"/>
  <c r="I11" i="19"/>
  <c r="S11" i="19" s="1"/>
  <c r="K9" i="19"/>
  <c r="U9" i="19" s="1"/>
  <c r="J9" i="19"/>
  <c r="T9" i="19" s="1"/>
  <c r="I9" i="19"/>
  <c r="S9" i="19" s="1"/>
  <c r="K7" i="19"/>
  <c r="J7" i="19"/>
  <c r="I7" i="19"/>
  <c r="S7" i="19" s="1"/>
  <c r="K5" i="19"/>
  <c r="J5" i="19"/>
  <c r="T5" i="19" s="1"/>
  <c r="I5" i="19"/>
  <c r="S5" i="19" s="1"/>
  <c r="K3" i="19"/>
  <c r="J3" i="19"/>
  <c r="I4" i="19"/>
  <c r="P16" i="16"/>
  <c r="N16" i="16"/>
  <c r="L16" i="16"/>
  <c r="J16" i="16"/>
  <c r="H16" i="16"/>
  <c r="F16" i="16"/>
  <c r="D16" i="16"/>
  <c r="C35" i="16"/>
  <c r="C23" i="16"/>
  <c r="G16" i="21" l="1"/>
  <c r="G40" i="21" s="1"/>
  <c r="M16" i="21"/>
  <c r="M43" i="21" s="1"/>
  <c r="N43" i="21" s="1"/>
  <c r="E16" i="21"/>
  <c r="K16" i="21"/>
  <c r="K40" i="21" s="1"/>
  <c r="I16" i="21"/>
  <c r="I40" i="21" s="1"/>
  <c r="L6" i="21"/>
  <c r="P15" i="21"/>
  <c r="O43" i="21" s="1"/>
  <c r="O40" i="21"/>
  <c r="I43" i="21"/>
  <c r="I6" i="19"/>
  <c r="H6" i="19"/>
  <c r="I10" i="19"/>
  <c r="H10" i="19"/>
  <c r="I14" i="19"/>
  <c r="H14" i="19"/>
  <c r="I8" i="19"/>
  <c r="H8" i="19"/>
  <c r="I12" i="19"/>
  <c r="H12" i="19"/>
  <c r="I16" i="19"/>
  <c r="H16" i="19"/>
  <c r="H4" i="19"/>
  <c r="R4" i="19" s="1"/>
  <c r="J6" i="19"/>
  <c r="K6" i="19"/>
  <c r="J8" i="19"/>
  <c r="K8" i="19"/>
  <c r="J10" i="19"/>
  <c r="K10" i="19"/>
  <c r="J12" i="19"/>
  <c r="K12" i="19"/>
  <c r="J14" i="19"/>
  <c r="K14" i="19"/>
  <c r="J16" i="19"/>
  <c r="K16" i="19"/>
  <c r="J4" i="19"/>
  <c r="K4" i="19"/>
  <c r="O32" i="17"/>
  <c r="M32" i="17"/>
  <c r="I32" i="17"/>
  <c r="G32" i="17"/>
  <c r="E32" i="17"/>
  <c r="P30" i="17"/>
  <c r="N30" i="17"/>
  <c r="J30" i="17"/>
  <c r="H30" i="17"/>
  <c r="F30" i="17"/>
  <c r="C30" i="17"/>
  <c r="P29" i="17"/>
  <c r="N29" i="17"/>
  <c r="J29" i="17"/>
  <c r="H29" i="17"/>
  <c r="F29" i="17"/>
  <c r="C29" i="17"/>
  <c r="P28" i="17"/>
  <c r="N28" i="17"/>
  <c r="J28" i="17"/>
  <c r="H28" i="17"/>
  <c r="F28" i="17"/>
  <c r="C28" i="17"/>
  <c r="P27" i="17"/>
  <c r="N27" i="17"/>
  <c r="J27" i="17"/>
  <c r="H27" i="17"/>
  <c r="F27" i="17"/>
  <c r="P26" i="17"/>
  <c r="N26" i="17"/>
  <c r="J26" i="17"/>
  <c r="H26" i="17"/>
  <c r="F26" i="17"/>
  <c r="P25" i="17"/>
  <c r="N25" i="17"/>
  <c r="J25" i="17"/>
  <c r="H25" i="17"/>
  <c r="F25" i="17"/>
  <c r="C25" i="17"/>
  <c r="P24" i="17"/>
  <c r="N24" i="17"/>
  <c r="J24" i="17"/>
  <c r="H24" i="17"/>
  <c r="F24" i="17"/>
  <c r="C24" i="17"/>
  <c r="P23" i="17"/>
  <c r="N23" i="17"/>
  <c r="J23" i="17"/>
  <c r="H23" i="17"/>
  <c r="F23" i="17"/>
  <c r="C23" i="17"/>
  <c r="P21" i="17"/>
  <c r="N21" i="17"/>
  <c r="J21" i="17"/>
  <c r="H21" i="17"/>
  <c r="F21" i="17"/>
  <c r="P20" i="17"/>
  <c r="N20" i="17"/>
  <c r="J20" i="17"/>
  <c r="H20" i="17"/>
  <c r="F20" i="17"/>
  <c r="C20" i="17"/>
  <c r="P19" i="17"/>
  <c r="N19" i="17"/>
  <c r="J19" i="17"/>
  <c r="H19" i="17"/>
  <c r="F19" i="17"/>
  <c r="C19" i="17"/>
  <c r="P18" i="17"/>
  <c r="N18" i="17"/>
  <c r="J18" i="17"/>
  <c r="H18" i="17"/>
  <c r="F18" i="17"/>
  <c r="P17" i="17"/>
  <c r="N17" i="17"/>
  <c r="J17" i="17"/>
  <c r="H17" i="17"/>
  <c r="F17" i="17"/>
  <c r="C17" i="17"/>
  <c r="P14" i="17"/>
  <c r="N14" i="17"/>
  <c r="J14" i="17"/>
  <c r="H14" i="17"/>
  <c r="F14" i="17"/>
  <c r="C14" i="17"/>
  <c r="P13" i="17"/>
  <c r="N13" i="17"/>
  <c r="J13" i="17"/>
  <c r="H13" i="17"/>
  <c r="F13" i="17"/>
  <c r="C13" i="17"/>
  <c r="P12" i="17"/>
  <c r="N12" i="17"/>
  <c r="J12" i="17"/>
  <c r="G12" i="17"/>
  <c r="H12" i="17" s="1"/>
  <c r="E12" i="17"/>
  <c r="F12" i="17" s="1"/>
  <c r="C12" i="17"/>
  <c r="P11" i="17"/>
  <c r="N11" i="17"/>
  <c r="I11" i="17"/>
  <c r="J11" i="17" s="1"/>
  <c r="G11" i="17"/>
  <c r="H11" i="17" s="1"/>
  <c r="E11" i="17"/>
  <c r="F11" i="17" s="1"/>
  <c r="P10" i="17"/>
  <c r="N10" i="17"/>
  <c r="J10" i="17"/>
  <c r="H10" i="17"/>
  <c r="F10" i="17"/>
  <c r="C10" i="17"/>
  <c r="P9" i="17"/>
  <c r="N9" i="17"/>
  <c r="J9" i="17"/>
  <c r="H9" i="17"/>
  <c r="F9" i="17"/>
  <c r="C9" i="17"/>
  <c r="K4" i="17" s="1"/>
  <c r="P8" i="17"/>
  <c r="N8" i="17"/>
  <c r="J8" i="17"/>
  <c r="H8" i="17"/>
  <c r="E8" i="17"/>
  <c r="F8" i="17" s="1"/>
  <c r="P7" i="17"/>
  <c r="N7" i="17"/>
  <c r="J7" i="17"/>
  <c r="I7" i="17"/>
  <c r="H7" i="17"/>
  <c r="F7" i="17"/>
  <c r="C7" i="17"/>
  <c r="C26" i="17" s="1"/>
  <c r="C22" i="17" s="1"/>
  <c r="P6" i="17"/>
  <c r="N6" i="17"/>
  <c r="I6" i="17"/>
  <c r="J6" i="17" s="1"/>
  <c r="H6" i="17"/>
  <c r="F6" i="17"/>
  <c r="C6" i="17"/>
  <c r="O5" i="17"/>
  <c r="M5" i="17"/>
  <c r="K5" i="17"/>
  <c r="I5" i="17"/>
  <c r="E5" i="17"/>
  <c r="P4" i="17"/>
  <c r="N4" i="17"/>
  <c r="J4" i="17"/>
  <c r="H4" i="17"/>
  <c r="F4" i="17"/>
  <c r="G5" i="17" l="1"/>
  <c r="G43" i="21"/>
  <c r="G44" i="21" s="1"/>
  <c r="H44" i="21" s="1"/>
  <c r="K43" i="21"/>
  <c r="K44" i="21" s="1"/>
  <c r="L44" i="21" s="1"/>
  <c r="M40" i="21"/>
  <c r="N40" i="21" s="1"/>
  <c r="M44" i="21"/>
  <c r="N44" i="21" s="1"/>
  <c r="P43" i="21"/>
  <c r="O44" i="21"/>
  <c r="P44" i="21" s="1"/>
  <c r="L40" i="21"/>
  <c r="K42" i="21"/>
  <c r="L42" i="21" s="1"/>
  <c r="I44" i="21"/>
  <c r="J44" i="21" s="1"/>
  <c r="J43" i="21"/>
  <c r="J40" i="21"/>
  <c r="I42" i="21"/>
  <c r="J42" i="21" s="1"/>
  <c r="G42" i="21"/>
  <c r="H42" i="21" s="1"/>
  <c r="H40" i="21"/>
  <c r="O42" i="21"/>
  <c r="P42" i="21" s="1"/>
  <c r="P40" i="21"/>
  <c r="L30" i="17"/>
  <c r="L29" i="17"/>
  <c r="L28" i="17"/>
  <c r="L27" i="17"/>
  <c r="L20" i="17"/>
  <c r="L19" i="17"/>
  <c r="L18" i="17"/>
  <c r="K15" i="17"/>
  <c r="L7" i="17"/>
  <c r="L4" i="17"/>
  <c r="C4" i="17"/>
  <c r="D19" i="17" s="1"/>
  <c r="E15" i="17"/>
  <c r="F5" i="17"/>
  <c r="I15" i="17"/>
  <c r="J5" i="17"/>
  <c r="M15" i="17"/>
  <c r="N5" i="17"/>
  <c r="L6" i="17"/>
  <c r="L23" i="17"/>
  <c r="L24" i="17"/>
  <c r="L25" i="17"/>
  <c r="K32" i="17"/>
  <c r="G15" i="17"/>
  <c r="H5" i="17"/>
  <c r="L5" i="17"/>
  <c r="O15" i="17"/>
  <c r="P5" i="17"/>
  <c r="O22" i="17"/>
  <c r="P22" i="17" s="1"/>
  <c r="M22" i="17"/>
  <c r="N22" i="17" s="1"/>
  <c r="K22" i="17"/>
  <c r="L22" i="17" s="1"/>
  <c r="I22" i="17"/>
  <c r="J22" i="17" s="1"/>
  <c r="G22" i="17"/>
  <c r="H22" i="17" s="1"/>
  <c r="E22" i="17"/>
  <c r="F22" i="17" s="1"/>
  <c r="C8" i="17"/>
  <c r="D8" i="17" s="1"/>
  <c r="L8" i="17"/>
  <c r="L9" i="17"/>
  <c r="L10" i="17"/>
  <c r="L11" i="17"/>
  <c r="L12" i="17"/>
  <c r="L13" i="17"/>
  <c r="L14" i="17"/>
  <c r="L17" i="17"/>
  <c r="C16" i="17"/>
  <c r="L21" i="17"/>
  <c r="L26" i="17"/>
  <c r="D29" i="17"/>
  <c r="O40" i="16"/>
  <c r="M40" i="16"/>
  <c r="K40" i="16"/>
  <c r="I40" i="16"/>
  <c r="G40" i="16"/>
  <c r="E40" i="16"/>
  <c r="C17" i="16"/>
  <c r="C16" i="16" s="1"/>
  <c r="G15" i="16"/>
  <c r="O7" i="19" s="1"/>
  <c r="T7" i="19" s="1"/>
  <c r="P14" i="16"/>
  <c r="N14" i="16"/>
  <c r="L14" i="16"/>
  <c r="J14" i="16"/>
  <c r="H14" i="16"/>
  <c r="F14" i="16"/>
  <c r="C14" i="16"/>
  <c r="P13" i="16"/>
  <c r="N13" i="16"/>
  <c r="L13" i="16"/>
  <c r="J13" i="16"/>
  <c r="H13" i="16"/>
  <c r="F13" i="16"/>
  <c r="P12" i="16"/>
  <c r="N12" i="16"/>
  <c r="L12" i="16"/>
  <c r="J12" i="16"/>
  <c r="H12" i="16"/>
  <c r="F12" i="16"/>
  <c r="C12" i="16"/>
  <c r="P10" i="16"/>
  <c r="N10" i="16"/>
  <c r="L10" i="16"/>
  <c r="J10" i="16"/>
  <c r="H10" i="16"/>
  <c r="F10" i="16"/>
  <c r="P9" i="16"/>
  <c r="N9" i="16"/>
  <c r="L9" i="16"/>
  <c r="J9" i="16"/>
  <c r="H9" i="16"/>
  <c r="F9" i="16"/>
  <c r="P8" i="16"/>
  <c r="N8" i="16"/>
  <c r="L8" i="16"/>
  <c r="J8" i="16"/>
  <c r="H8" i="16"/>
  <c r="C8" i="16"/>
  <c r="P7" i="16"/>
  <c r="N7" i="16"/>
  <c r="L7" i="16"/>
  <c r="J7" i="16"/>
  <c r="H7" i="16"/>
  <c r="C7" i="16"/>
  <c r="O6" i="16"/>
  <c r="O15" i="16" s="1"/>
  <c r="M6" i="16"/>
  <c r="M15" i="16" s="1"/>
  <c r="K6" i="16"/>
  <c r="K15" i="16" s="1"/>
  <c r="O11" i="19" s="1"/>
  <c r="T11" i="19" s="1"/>
  <c r="I6" i="16"/>
  <c r="I15" i="16" s="1"/>
  <c r="H6" i="16"/>
  <c r="E6" i="16"/>
  <c r="E15" i="16" s="1"/>
  <c r="P5" i="16"/>
  <c r="N5" i="16"/>
  <c r="L5" i="16"/>
  <c r="J5" i="16"/>
  <c r="H5" i="16"/>
  <c r="F5" i="16"/>
  <c r="C5" i="16"/>
  <c r="D11" i="16" s="1"/>
  <c r="F22" i="15"/>
  <c r="E22" i="15"/>
  <c r="I22" i="15" s="1"/>
  <c r="C22" i="15"/>
  <c r="H22" i="15" s="1"/>
  <c r="B22" i="15"/>
  <c r="D22" i="15" s="1"/>
  <c r="I21" i="15"/>
  <c r="F21" i="15"/>
  <c r="E21" i="15"/>
  <c r="D21" i="15"/>
  <c r="I20" i="15"/>
  <c r="F20" i="15"/>
  <c r="E20" i="15"/>
  <c r="D20" i="15"/>
  <c r="I19" i="15"/>
  <c r="F19" i="15"/>
  <c r="E19" i="15"/>
  <c r="D19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F8" i="15"/>
  <c r="D8" i="15"/>
  <c r="E8" i="15" s="1"/>
  <c r="C8" i="15"/>
  <c r="B8" i="15"/>
  <c r="G7" i="15"/>
  <c r="H7" i="15" s="1"/>
  <c r="D7" i="15"/>
  <c r="E7" i="15" s="1"/>
  <c r="G6" i="15"/>
  <c r="H6" i="15" s="1"/>
  <c r="D6" i="15"/>
  <c r="E6" i="15" s="1"/>
  <c r="G5" i="15"/>
  <c r="H5" i="15" s="1"/>
  <c r="D5" i="15"/>
  <c r="E5" i="15" s="1"/>
  <c r="G4" i="15"/>
  <c r="H4" i="15" s="1"/>
  <c r="D4" i="15"/>
  <c r="E4" i="15" s="1"/>
  <c r="G3" i="15"/>
  <c r="G8" i="15" s="1"/>
  <c r="H8" i="15" s="1"/>
  <c r="D3" i="15"/>
  <c r="E3" i="15" s="1"/>
  <c r="J22" i="15" l="1"/>
  <c r="D28" i="17"/>
  <c r="D20" i="17"/>
  <c r="D6" i="17"/>
  <c r="H3" i="15"/>
  <c r="G22" i="15"/>
  <c r="D7" i="16"/>
  <c r="D30" i="17"/>
  <c r="D26" i="17"/>
  <c r="H43" i="21"/>
  <c r="L43" i="21"/>
  <c r="M42" i="21"/>
  <c r="N42" i="21" s="1"/>
  <c r="D5" i="16"/>
  <c r="N3" i="19"/>
  <c r="M16" i="16"/>
  <c r="I16" i="16"/>
  <c r="E16" i="16"/>
  <c r="G16" i="16"/>
  <c r="O16" i="16"/>
  <c r="K16" i="16"/>
  <c r="C40" i="16"/>
  <c r="C6" i="16"/>
  <c r="D6" i="16" s="1"/>
  <c r="J6" i="16"/>
  <c r="L6" i="16"/>
  <c r="N6" i="16"/>
  <c r="P6" i="16"/>
  <c r="D12" i="16"/>
  <c r="H15" i="16"/>
  <c r="O17" i="16"/>
  <c r="E17" i="16"/>
  <c r="D8" i="16"/>
  <c r="F15" i="16"/>
  <c r="J15" i="16"/>
  <c r="L15" i="16"/>
  <c r="P15" i="16"/>
  <c r="N15" i="16"/>
  <c r="D13" i="16"/>
  <c r="D14" i="16"/>
  <c r="D17" i="16"/>
  <c r="D9" i="16"/>
  <c r="F6" i="16"/>
  <c r="D10" i="16"/>
  <c r="G17" i="16"/>
  <c r="I17" i="16"/>
  <c r="K17" i="16"/>
  <c r="M17" i="16"/>
  <c r="O16" i="17"/>
  <c r="O31" i="17" s="1"/>
  <c r="M16" i="17"/>
  <c r="K16" i="17"/>
  <c r="I16" i="17"/>
  <c r="G16" i="17"/>
  <c r="E16" i="17"/>
  <c r="D16" i="17"/>
  <c r="P15" i="17"/>
  <c r="C5" i="17"/>
  <c r="D5" i="17" s="1"/>
  <c r="N15" i="17"/>
  <c r="M31" i="17"/>
  <c r="J15" i="17"/>
  <c r="I31" i="17"/>
  <c r="F15" i="17"/>
  <c r="E31" i="17"/>
  <c r="K31" i="17"/>
  <c r="L15" i="17"/>
  <c r="G31" i="17"/>
  <c r="H15" i="17"/>
  <c r="D27" i="17"/>
  <c r="D18" i="17"/>
  <c r="C15" i="17"/>
  <c r="D11" i="17"/>
  <c r="D21" i="17"/>
  <c r="D17" i="17"/>
  <c r="D14" i="17"/>
  <c r="D13" i="17"/>
  <c r="D12" i="17"/>
  <c r="D10" i="17"/>
  <c r="D9" i="17"/>
  <c r="C32" i="17"/>
  <c r="D25" i="17"/>
  <c r="D24" i="17"/>
  <c r="D23" i="17"/>
  <c r="D22" i="17"/>
  <c r="D7" i="17"/>
  <c r="D4" i="17"/>
  <c r="O6" i="19" l="1"/>
  <c r="O14" i="19"/>
  <c r="P14" i="19"/>
  <c r="O16" i="19"/>
  <c r="P16" i="19"/>
  <c r="O12" i="19"/>
  <c r="M12" i="19"/>
  <c r="R12" i="19" s="1"/>
  <c r="M8" i="19"/>
  <c r="R8" i="19" s="1"/>
  <c r="M14" i="19"/>
  <c r="R14" i="19" s="1"/>
  <c r="M16" i="19"/>
  <c r="R16" i="19" s="1"/>
  <c r="O10" i="19"/>
  <c r="P6" i="19"/>
  <c r="P10" i="19"/>
  <c r="M6" i="19"/>
  <c r="R6" i="19" s="1"/>
  <c r="O8" i="19"/>
  <c r="M10" i="19"/>
  <c r="R10" i="19" s="1"/>
  <c r="S3" i="19"/>
  <c r="G42" i="16"/>
  <c r="M42" i="16"/>
  <c r="I42" i="16"/>
  <c r="C15" i="16"/>
  <c r="O3" i="19" s="1"/>
  <c r="O4" i="19" s="1"/>
  <c r="P17" i="16"/>
  <c r="G39" i="16"/>
  <c r="P7" i="19" s="1"/>
  <c r="U7" i="19" s="1"/>
  <c r="E42" i="16"/>
  <c r="M39" i="16"/>
  <c r="I39" i="16"/>
  <c r="K42" i="16"/>
  <c r="O42" i="16"/>
  <c r="O39" i="16"/>
  <c r="K39" i="16"/>
  <c r="P11" i="19" s="1"/>
  <c r="U11" i="19" s="1"/>
  <c r="E39" i="16"/>
  <c r="P5" i="19" s="1"/>
  <c r="U5" i="19" s="1"/>
  <c r="N17" i="16"/>
  <c r="L17" i="16"/>
  <c r="H17" i="16"/>
  <c r="J17" i="16"/>
  <c r="F17" i="16"/>
  <c r="C31" i="17"/>
  <c r="D15" i="17"/>
  <c r="C34" i="17" s="1"/>
  <c r="E33" i="17"/>
  <c r="F33" i="17" s="1"/>
  <c r="F31" i="17"/>
  <c r="I33" i="17"/>
  <c r="J33" i="17" s="1"/>
  <c r="J31" i="17"/>
  <c r="M33" i="17"/>
  <c r="N33" i="17" s="1"/>
  <c r="N31" i="17"/>
  <c r="O33" i="17"/>
  <c r="P33" i="17" s="1"/>
  <c r="P31" i="17"/>
  <c r="E34" i="17"/>
  <c r="F16" i="17"/>
  <c r="I34" i="17"/>
  <c r="J16" i="17"/>
  <c r="M34" i="17"/>
  <c r="N16" i="17"/>
  <c r="G33" i="17"/>
  <c r="H33" i="17" s="1"/>
  <c r="H31" i="17"/>
  <c r="K33" i="17"/>
  <c r="L33" i="17" s="1"/>
  <c r="L31" i="17"/>
  <c r="G34" i="17"/>
  <c r="H16" i="17"/>
  <c r="K34" i="17"/>
  <c r="L16" i="17"/>
  <c r="O34" i="17"/>
  <c r="P16" i="17"/>
  <c r="P12" i="19" l="1"/>
  <c r="P8" i="19"/>
  <c r="C39" i="16"/>
  <c r="T3" i="19"/>
  <c r="D15" i="16"/>
  <c r="C42" i="16" s="1"/>
  <c r="D42" i="16" s="1"/>
  <c r="H42" i="16"/>
  <c r="G43" i="16"/>
  <c r="H43" i="16" s="1"/>
  <c r="L42" i="16"/>
  <c r="K43" i="16"/>
  <c r="L43" i="16" s="1"/>
  <c r="F42" i="16"/>
  <c r="E43" i="16"/>
  <c r="F43" i="16" s="1"/>
  <c r="J42" i="16"/>
  <c r="I43" i="16"/>
  <c r="J43" i="16" s="1"/>
  <c r="N42" i="16"/>
  <c r="M43" i="16"/>
  <c r="N43" i="16" s="1"/>
  <c r="I41" i="16"/>
  <c r="J41" i="16" s="1"/>
  <c r="J39" i="16"/>
  <c r="G41" i="16"/>
  <c r="H41" i="16" s="1"/>
  <c r="H39" i="16"/>
  <c r="E41" i="16"/>
  <c r="F41" i="16" s="1"/>
  <c r="F39" i="16"/>
  <c r="K41" i="16"/>
  <c r="L41" i="16" s="1"/>
  <c r="L39" i="16"/>
  <c r="O35" i="17"/>
  <c r="P35" i="17" s="1"/>
  <c r="P34" i="17"/>
  <c r="L34" i="17"/>
  <c r="K35" i="17"/>
  <c r="L35" i="17" s="1"/>
  <c r="G35" i="17"/>
  <c r="H35" i="17" s="1"/>
  <c r="H34" i="17"/>
  <c r="M35" i="17"/>
  <c r="N35" i="17" s="1"/>
  <c r="N34" i="17"/>
  <c r="I35" i="17"/>
  <c r="J35" i="17" s="1"/>
  <c r="J34" i="17"/>
  <c r="E35" i="17"/>
  <c r="F35" i="17" s="1"/>
  <c r="F34" i="17"/>
  <c r="C33" i="17"/>
  <c r="D33" i="17" s="1"/>
  <c r="D31" i="17"/>
  <c r="D34" i="17"/>
  <c r="C35" i="17"/>
  <c r="D35" i="17" s="1"/>
  <c r="U3" i="19" l="1"/>
  <c r="P3" i="19"/>
  <c r="P4" i="19" s="1"/>
  <c r="C41" i="16"/>
  <c r="D41" i="16" s="1"/>
  <c r="D39" i="16"/>
  <c r="C43" i="16"/>
  <c r="D43" i="16" s="1"/>
  <c r="P42" i="16"/>
  <c r="O43" i="16"/>
  <c r="P43" i="16" s="1"/>
  <c r="M41" i="16"/>
  <c r="N41" i="16" s="1"/>
  <c r="N39" i="16"/>
  <c r="O41" i="16"/>
  <c r="P41" i="16" s="1"/>
  <c r="P39" i="16"/>
  <c r="F11" i="21" l="1"/>
  <c r="D11" i="21"/>
  <c r="C6" i="21"/>
  <c r="D6" i="21" s="1"/>
  <c r="E6" i="21"/>
  <c r="E15" i="21" s="1"/>
  <c r="E40" i="21" l="1"/>
  <c r="F15" i="21"/>
  <c r="E43" i="21" s="1"/>
  <c r="C15" i="21"/>
  <c r="F6" i="21"/>
  <c r="F40" i="21" l="1"/>
  <c r="E42" i="21"/>
  <c r="F42" i="21" s="1"/>
  <c r="F43" i="21"/>
  <c r="E44" i="21"/>
  <c r="F44" i="21" s="1"/>
  <c r="C40" i="21"/>
  <c r="D15" i="21"/>
  <c r="C43" i="21" s="1"/>
  <c r="C42" i="21" l="1"/>
  <c r="D42" i="21" s="1"/>
  <c r="D40" i="21"/>
  <c r="C44" i="21"/>
  <c r="D44" i="21" s="1"/>
  <c r="D43" i="21"/>
</calcChain>
</file>

<file path=xl/sharedStrings.xml><?xml version="1.0" encoding="utf-8"?>
<sst xmlns="http://schemas.openxmlformats.org/spreadsheetml/2006/main" count="329" uniqueCount="124">
  <si>
    <t>+/-</t>
  </si>
  <si>
    <t>שורת תקציב</t>
  </si>
  <si>
    <t>+</t>
  </si>
  <si>
    <t>-</t>
  </si>
  <si>
    <t>=</t>
  </si>
  <si>
    <t>רווח גולמי</t>
  </si>
  <si>
    <t>הוצאות שיווק</t>
  </si>
  <si>
    <t>מטרת רווח</t>
  </si>
  <si>
    <t>מעל / מתחת למטרה</t>
  </si>
  <si>
    <t>מחזור נקודת איזון</t>
  </si>
  <si>
    <t>הפרש למחזור נק איזון</t>
  </si>
  <si>
    <t>סהכ הוצאות ישירות</t>
  </si>
  <si>
    <t>אחר</t>
  </si>
  <si>
    <t>משרדיות</t>
  </si>
  <si>
    <t>מימון</t>
  </si>
  <si>
    <t>עבודת - משרד</t>
  </si>
  <si>
    <t xml:space="preserve">רווח תפעולי </t>
  </si>
  <si>
    <t>חומר גלם / סחורות</t>
  </si>
  <si>
    <t>מתקנים ואחזקה</t>
  </si>
  <si>
    <t>אחר ומקצועיות</t>
  </si>
  <si>
    <t>מכירות</t>
  </si>
  <si>
    <t>פחת מכונות</t>
  </si>
  <si>
    <t>שווק ופרסום וקידום</t>
  </si>
  <si>
    <t>מכונות</t>
  </si>
  <si>
    <t>פורמט רחב</t>
  </si>
  <si>
    <t>פורמט קטן</t>
  </si>
  <si>
    <t>גרפיקה</t>
  </si>
  <si>
    <t>עבודות חוץ</t>
  </si>
  <si>
    <t>עמלות/ שכר</t>
  </si>
  <si>
    <t>מירי ומאיר</t>
  </si>
  <si>
    <t>קבלני חוץ</t>
  </si>
  <si>
    <t xml:space="preserve">עבודה - יצור/תפעול </t>
  </si>
  <si>
    <t>תקשורת ומחשוב</t>
  </si>
  <si>
    <t>משלוחים</t>
  </si>
  <si>
    <t>אנרגיה</t>
  </si>
  <si>
    <t>סה"כ הוצאות תקורה</t>
  </si>
  <si>
    <t>שיווק בעלים</t>
  </si>
  <si>
    <t>פיתוח וחנות</t>
  </si>
  <si>
    <t>גרפיקה פנים</t>
  </si>
  <si>
    <t>מכירות לפי מחלקות</t>
  </si>
  <si>
    <t>כל המחלקות</t>
  </si>
  <si>
    <t>הפרש</t>
  </si>
  <si>
    <t xml:space="preserve"> </t>
  </si>
  <si>
    <t>2010</t>
  </si>
  <si>
    <t>2011</t>
  </si>
  <si>
    <t>אחוז</t>
  </si>
  <si>
    <t>2012</t>
  </si>
  <si>
    <t>הפרש2</t>
  </si>
  <si>
    <t>אחוז2</t>
  </si>
  <si>
    <t>חנות למעלה</t>
  </si>
  <si>
    <t>אופסט</t>
  </si>
  <si>
    <t>סה"כ</t>
  </si>
  <si>
    <t>בתי ספר</t>
  </si>
  <si>
    <t>מוסדות</t>
  </si>
  <si>
    <t>מפיק/גרפיקאי</t>
  </si>
  <si>
    <t>משרדי פרסום</t>
  </si>
  <si>
    <t>קונים מזדמנים-דלפק</t>
  </si>
  <si>
    <t>אדריכלים</t>
  </si>
  <si>
    <t>בתי דפוס אופסט</t>
  </si>
  <si>
    <t>חנויות ועסקים</t>
  </si>
  <si>
    <t>שונות</t>
  </si>
  <si>
    <t>מכירות בש"ח</t>
  </si>
  <si>
    <t>מס לקוחות</t>
  </si>
  <si>
    <t>סל ממוצע</t>
  </si>
  <si>
    <t>סל ממצוע כבדים</t>
  </si>
  <si>
    <t>סל ממוצע קלים</t>
  </si>
  <si>
    <t>סה"כ מכירות</t>
  </si>
  <si>
    <t>מכירות למשתמשים כבדים</t>
  </si>
  <si>
    <t>מכירות למשתמשים 'קלים'</t>
  </si>
  <si>
    <t>80%    הכנסות</t>
  </si>
  <si>
    <t>20%       לקוחות</t>
  </si>
  <si>
    <t>80%             לקוחות</t>
  </si>
  <si>
    <t>20%       הכנסות</t>
  </si>
  <si>
    <t>מסקנה:</t>
  </si>
  <si>
    <t>ולהתמקד בהפיכת משתמשים קלים קיימים - למשתמשים כבדים</t>
  </si>
  <si>
    <t>נכון לתאריך 31/3/13</t>
  </si>
  <si>
    <t>שליחיות-הובלה</t>
  </si>
  <si>
    <t>חשמל</t>
  </si>
  <si>
    <t>שכ"ע -רוחי אסתי</t>
  </si>
  <si>
    <t>שווק בעלים 30%</t>
  </si>
  <si>
    <t>אחזקה עסק</t>
  </si>
  <si>
    <t>טלפון-דאר</t>
  </si>
  <si>
    <t>ביטוח</t>
  </si>
  <si>
    <t>שכר דירה-שרה</t>
  </si>
  <si>
    <t>ארנונה</t>
  </si>
  <si>
    <t>בקורת-יעוץ</t>
  </si>
  <si>
    <t>שכר עבודה</t>
  </si>
  <si>
    <t>שכ"ע הנהלה 70%</t>
  </si>
  <si>
    <t>שכ"ע משרד</t>
  </si>
  <si>
    <t>הוצאות משרד</t>
  </si>
  <si>
    <t>רבעון ממוצע 2012</t>
  </si>
  <si>
    <t>רווח</t>
  </si>
  <si>
    <t>שנתי 2012</t>
  </si>
  <si>
    <t>שינוי ב-% בין 2012 ל-2013</t>
  </si>
  <si>
    <t>לתקן על ידי הוספת עבודות פנימיות לגרפיקה</t>
  </si>
  <si>
    <t>עליה במכירות ורווחיות</t>
  </si>
  <si>
    <t>מעבר מהפסד לרווחיות</t>
  </si>
  <si>
    <t>המשך צמיחה במכירות ורווחיות</t>
  </si>
  <si>
    <t>ירידת רווחיות בגלל גדילת תקורה</t>
  </si>
  <si>
    <t>ירידה במכירות ורווחיות</t>
  </si>
  <si>
    <t>להמשיך בהגדלת מכירות - זה משפר ר גולמי ומוריד אחוז תקורה</t>
  </si>
  <si>
    <t>לבחון איך אפשר לתפוס נתח שוק גדול יותרף זה האריה</t>
  </si>
  <si>
    <t>להגדיל מכירות, זה המחלקה עם פוטנציאל צמיחה הגדול ביותר</t>
  </si>
  <si>
    <t>מחלקה במצב יציב, לבחון איך מצמצמים עלויות</t>
  </si>
  <si>
    <t>הנתונים לא משקפים המציאות - להתשמש במחלקה במאמצי השיווק</t>
  </si>
  <si>
    <t>להמשיך להגדיל - בלי להגדיל כח אדם לכך</t>
  </si>
  <si>
    <t>חשמל 50%</t>
  </si>
  <si>
    <t>מתנת חג</t>
  </si>
  <si>
    <t>הוצ כלליות</t>
  </si>
  <si>
    <t xml:space="preserve">שכ"ע - יצור/תפעול </t>
  </si>
  <si>
    <t>חומר גלם / סחורות-קניות</t>
  </si>
  <si>
    <t>שווק בעלים 30% שכ"ע</t>
  </si>
  <si>
    <t>דואר</t>
  </si>
  <si>
    <t>יעוץ</t>
  </si>
  <si>
    <t>ביקורת</t>
  </si>
  <si>
    <t>מודל פיננסי 11</t>
  </si>
  <si>
    <t>חנות</t>
  </si>
  <si>
    <t xml:space="preserve">מכירות לפי מרכזי רווח של מחלקת ייצור </t>
  </si>
  <si>
    <t>מכירות  לפי קהלי יעד של לקוחות</t>
  </si>
  <si>
    <t>למקד מאמצי שיווק בקהלי היעד הצהובים, והכתומים: צהוב בשיווק אישי ישיר, כתום באמצעות דיוורים ישירים וכו'</t>
  </si>
  <si>
    <t xml:space="preserve"> מודל פיננסי 2012</t>
  </si>
  <si>
    <t>נכון לתאריך 30/9/13</t>
  </si>
  <si>
    <t xml:space="preserve"> מודל פיננסי 12-13</t>
  </si>
  <si>
    <t xml:space="preserve"> מודל פיננסי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</si>
</sst>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</numFmts>
  <fonts count="20" x14ac:knownFonts="1">
    <font>
      <sz val="11"/>
      <color theme="1"/>
      <name val="Calibri"/>
      <family val="2"/>
      <charset val="177"/>
      <scheme val="minor"/>
    </font>
    <font>
      <sz val="11"/>
      <color indexed="8"/>
      <name val="Arial"/>
      <family val="2"/>
      <charset val="177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62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177"/>
      <scheme val="minor"/>
    </font>
    <font>
      <b/>
      <sz val="28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4"/>
      <color theme="1"/>
      <name val="Arial Black"/>
      <family val="2"/>
    </font>
    <font>
      <b/>
      <sz val="11"/>
      <color theme="1"/>
      <name val="Arial Black"/>
      <family val="2"/>
    </font>
    <font>
      <sz val="14"/>
      <color theme="1"/>
      <name val="Aharoni"/>
    </font>
  </fonts>
  <fills count="3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3" fillId="3" borderId="4" xfId="0" applyFont="1" applyFill="1" applyBorder="1" applyAlignment="1">
      <alignment horizontal="right" readingOrder="2"/>
    </xf>
    <xf numFmtId="0" fontId="3" fillId="3" borderId="2" xfId="0" applyFont="1" applyFill="1" applyBorder="1" applyAlignment="1">
      <alignment horizontal="center"/>
    </xf>
    <xf numFmtId="3" fontId="3" fillId="8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right" vertical="center"/>
    </xf>
    <xf numFmtId="9" fontId="3" fillId="6" borderId="2" xfId="2" applyFont="1" applyFill="1" applyBorder="1" applyAlignment="1">
      <alignment horizontal="right" vertical="center"/>
    </xf>
    <xf numFmtId="9" fontId="2" fillId="6" borderId="2" xfId="2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right" vertical="center"/>
    </xf>
    <xf numFmtId="9" fontId="2" fillId="4" borderId="2" xfId="2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center"/>
    </xf>
    <xf numFmtId="3" fontId="2" fillId="11" borderId="2" xfId="0" applyNumberFormat="1" applyFont="1" applyFill="1" applyBorder="1" applyAlignment="1">
      <alignment horizontal="right" vertical="center"/>
    </xf>
    <xf numFmtId="9" fontId="2" fillId="11" borderId="2" xfId="2" applyFont="1" applyFill="1" applyBorder="1" applyAlignment="1">
      <alignment horizontal="right" vertical="center"/>
    </xf>
    <xf numFmtId="9" fontId="3" fillId="11" borderId="2" xfId="2" applyFont="1" applyFill="1" applyBorder="1" applyAlignment="1">
      <alignment horizontal="right" vertical="center"/>
    </xf>
    <xf numFmtId="3" fontId="2" fillId="11" borderId="2" xfId="0" applyNumberFormat="1" applyFont="1" applyFill="1" applyBorder="1" applyAlignment="1">
      <alignment horizontal="right"/>
    </xf>
    <xf numFmtId="3" fontId="3" fillId="11" borderId="2" xfId="0" applyNumberFormat="1" applyFont="1" applyFill="1" applyBorder="1" applyAlignment="1">
      <alignment horizontal="right"/>
    </xf>
    <xf numFmtId="0" fontId="3" fillId="11" borderId="2" xfId="0" applyFont="1" applyFill="1" applyBorder="1" applyAlignment="1">
      <alignment horizontal="center"/>
    </xf>
    <xf numFmtId="3" fontId="3" fillId="11" borderId="2" xfId="0" applyNumberFormat="1" applyFont="1" applyFill="1" applyBorder="1" applyAlignment="1">
      <alignment horizontal="right" vertical="center"/>
    </xf>
    <xf numFmtId="9" fontId="4" fillId="11" borderId="2" xfId="2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right" readingOrder="2"/>
    </xf>
    <xf numFmtId="3" fontId="3" fillId="9" borderId="2" xfId="0" applyNumberFormat="1" applyFont="1" applyFill="1" applyBorder="1" applyAlignment="1">
      <alignment horizontal="right" vertical="center"/>
    </xf>
    <xf numFmtId="9" fontId="3" fillId="9" borderId="2" xfId="2" applyFont="1" applyFill="1" applyBorder="1" applyAlignment="1">
      <alignment horizontal="right" vertical="center"/>
    </xf>
    <xf numFmtId="9" fontId="3" fillId="8" borderId="2" xfId="2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9" fontId="3" fillId="3" borderId="2" xfId="2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readingOrder="2"/>
    </xf>
    <xf numFmtId="3" fontId="3" fillId="2" borderId="2" xfId="0" applyNumberFormat="1" applyFont="1" applyFill="1" applyBorder="1" applyAlignment="1">
      <alignment horizontal="right" vertical="center"/>
    </xf>
    <xf numFmtId="9" fontId="3" fillId="2" borderId="2" xfId="2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center"/>
    </xf>
    <xf numFmtId="165" fontId="2" fillId="5" borderId="2" xfId="1" applyNumberFormat="1" applyFont="1" applyFill="1" applyBorder="1" applyAlignment="1">
      <alignment horizontal="right" vertical="center"/>
    </xf>
    <xf numFmtId="9" fontId="3" fillId="5" borderId="2" xfId="2" applyFont="1" applyFill="1" applyBorder="1" applyAlignment="1">
      <alignment horizontal="right" vertical="center"/>
    </xf>
    <xf numFmtId="9" fontId="2" fillId="5" borderId="2" xfId="2" applyFont="1" applyFill="1" applyBorder="1" applyAlignment="1">
      <alignment horizontal="right" vertical="center"/>
    </xf>
    <xf numFmtId="9" fontId="3" fillId="10" borderId="2" xfId="2" applyFont="1" applyFill="1" applyBorder="1" applyAlignment="1">
      <alignment horizontal="right" vertical="center"/>
    </xf>
    <xf numFmtId="165" fontId="3" fillId="3" borderId="4" xfId="1" applyNumberFormat="1" applyFont="1" applyFill="1" applyBorder="1" applyAlignment="1">
      <alignment horizontal="right" vertical="center" readingOrder="2"/>
    </xf>
    <xf numFmtId="3" fontId="3" fillId="8" borderId="2" xfId="0" applyNumberFormat="1" applyFont="1" applyFill="1" applyBorder="1" applyAlignment="1">
      <alignment horizontal="right"/>
    </xf>
    <xf numFmtId="0" fontId="0" fillId="7" borderId="11" xfId="0" applyFill="1" applyBorder="1" applyAlignment="1">
      <alignment horizontal="center"/>
    </xf>
    <xf numFmtId="0" fontId="8" fillId="7" borderId="12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2" borderId="11" xfId="0" applyFill="1" applyBorder="1"/>
    <xf numFmtId="165" fontId="8" fillId="0" borderId="12" xfId="1" applyNumberFormat="1" applyFont="1" applyBorder="1"/>
    <xf numFmtId="165" fontId="0" fillId="0" borderId="12" xfId="1" applyNumberFormat="1" applyFont="1" applyBorder="1"/>
    <xf numFmtId="165" fontId="10" fillId="0" borderId="12" xfId="1" applyNumberFormat="1" applyFont="1" applyBorder="1"/>
    <xf numFmtId="165" fontId="0" fillId="0" borderId="13" xfId="1" applyNumberFormat="1" applyFont="1" applyBorder="1"/>
    <xf numFmtId="165" fontId="9" fillId="0" borderId="12" xfId="1" applyNumberFormat="1" applyFont="1" applyBorder="1"/>
    <xf numFmtId="0" fontId="0" fillId="12" borderId="14" xfId="0" applyFill="1" applyBorder="1"/>
    <xf numFmtId="165" fontId="11" fillId="10" borderId="16" xfId="1" applyNumberFormat="1" applyFont="1" applyFill="1" applyBorder="1"/>
    <xf numFmtId="165" fontId="11" fillId="12" borderId="15" xfId="1" applyNumberFormat="1" applyFont="1" applyFill="1" applyBorder="1"/>
    <xf numFmtId="165" fontId="0" fillId="12" borderId="15" xfId="1" applyNumberFormat="1" applyFont="1" applyFill="1" applyBorder="1"/>
    <xf numFmtId="165" fontId="0" fillId="10" borderId="15" xfId="1" applyNumberFormat="1" applyFont="1" applyFill="1" applyBorder="1"/>
    <xf numFmtId="165" fontId="7" fillId="12" borderId="15" xfId="1" applyNumberFormat="1" applyFont="1" applyFill="1" applyBorder="1"/>
    <xf numFmtId="165" fontId="10" fillId="7" borderId="15" xfId="1" applyNumberFormat="1" applyFont="1" applyFill="1" applyBorder="1"/>
    <xf numFmtId="165" fontId="0" fillId="7" borderId="15" xfId="1" applyNumberFormat="1" applyFont="1" applyFill="1" applyBorder="1"/>
    <xf numFmtId="165" fontId="11" fillId="7" borderId="15" xfId="1" applyNumberFormat="1" applyFont="1" applyFill="1" applyBorder="1"/>
    <xf numFmtId="0" fontId="0" fillId="7" borderId="11" xfId="0" applyFill="1" applyBorder="1"/>
    <xf numFmtId="0" fontId="0" fillId="10" borderId="11" xfId="0" applyFill="1" applyBorder="1"/>
    <xf numFmtId="0" fontId="0" fillId="12" borderId="11" xfId="0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8" fillId="15" borderId="12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9" fontId="0" fillId="0" borderId="12" xfId="2" applyFont="1" applyBorder="1"/>
    <xf numFmtId="9" fontId="0" fillId="0" borderId="13" xfId="2" applyFont="1" applyBorder="1"/>
    <xf numFmtId="0" fontId="0" fillId="0" borderId="15" xfId="0" applyNumberFormat="1" applyBorder="1"/>
    <xf numFmtId="165" fontId="0" fillId="0" borderId="15" xfId="0" applyNumberFormat="1" applyBorder="1"/>
    <xf numFmtId="9" fontId="0" fillId="0" borderId="15" xfId="2" applyFont="1" applyBorder="1"/>
    <xf numFmtId="9" fontId="0" fillId="0" borderId="16" xfId="2" applyFont="1" applyBorder="1"/>
    <xf numFmtId="0" fontId="12" fillId="17" borderId="0" xfId="0" applyFont="1" applyFill="1"/>
    <xf numFmtId="0" fontId="2" fillId="18" borderId="1" xfId="0" applyFont="1" applyFill="1" applyBorder="1" applyAlignment="1">
      <alignment horizontal="center" vertical="center" readingOrder="2"/>
    </xf>
    <xf numFmtId="0" fontId="2" fillId="18" borderId="2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readingOrder="2"/>
    </xf>
    <xf numFmtId="0" fontId="2" fillId="19" borderId="2" xfId="0" applyFont="1" applyFill="1" applyBorder="1" applyAlignment="1">
      <alignment horizontal="center"/>
    </xf>
    <xf numFmtId="3" fontId="2" fillId="19" borderId="2" xfId="0" applyNumberFormat="1" applyFont="1" applyFill="1" applyBorder="1" applyAlignment="1">
      <alignment horizontal="right" vertical="center"/>
    </xf>
    <xf numFmtId="9" fontId="2" fillId="19" borderId="2" xfId="2" applyFont="1" applyFill="1" applyBorder="1" applyAlignment="1">
      <alignment horizontal="right" vertical="center"/>
    </xf>
    <xf numFmtId="9" fontId="2" fillId="19" borderId="3" xfId="2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center" readingOrder="2"/>
    </xf>
    <xf numFmtId="3" fontId="2" fillId="0" borderId="2" xfId="0" applyNumberFormat="1" applyFont="1" applyFill="1" applyBorder="1" applyAlignment="1">
      <alignment horizontal="right" vertical="center"/>
    </xf>
    <xf numFmtId="0" fontId="2" fillId="15" borderId="1" xfId="0" applyFont="1" applyFill="1" applyBorder="1" applyAlignment="1">
      <alignment horizontal="center" readingOrder="2"/>
    </xf>
    <xf numFmtId="0" fontId="2" fillId="15" borderId="2" xfId="0" applyFont="1" applyFill="1" applyBorder="1" applyAlignment="1">
      <alignment horizontal="center"/>
    </xf>
    <xf numFmtId="3" fontId="2" fillId="15" borderId="2" xfId="0" applyNumberFormat="1" applyFont="1" applyFill="1" applyBorder="1" applyAlignment="1">
      <alignment horizontal="right" vertical="center"/>
    </xf>
    <xf numFmtId="9" fontId="2" fillId="15" borderId="2" xfId="2" applyFont="1" applyFill="1" applyBorder="1" applyAlignment="1">
      <alignment horizontal="right" vertical="center"/>
    </xf>
    <xf numFmtId="9" fontId="2" fillId="15" borderId="3" xfId="2" applyFont="1" applyFill="1" applyBorder="1" applyAlignment="1">
      <alignment horizontal="right" vertical="center"/>
    </xf>
    <xf numFmtId="0" fontId="3" fillId="20" borderId="1" xfId="0" applyFont="1" applyFill="1" applyBorder="1" applyAlignment="1">
      <alignment horizontal="right" readingOrder="2"/>
    </xf>
    <xf numFmtId="3" fontId="3" fillId="20" borderId="2" xfId="0" applyNumberFormat="1" applyFont="1" applyFill="1" applyBorder="1" applyAlignment="1">
      <alignment horizontal="right" vertical="center"/>
    </xf>
    <xf numFmtId="9" fontId="3" fillId="20" borderId="2" xfId="2" applyFont="1" applyFill="1" applyBorder="1" applyAlignment="1">
      <alignment horizontal="right" vertical="center"/>
    </xf>
    <xf numFmtId="9" fontId="3" fillId="20" borderId="3" xfId="2" applyFont="1" applyFill="1" applyBorder="1" applyAlignment="1">
      <alignment horizontal="right" vertical="center"/>
    </xf>
    <xf numFmtId="0" fontId="13" fillId="19" borderId="1" xfId="0" applyFont="1" applyFill="1" applyBorder="1" applyAlignment="1">
      <alignment horizontal="center"/>
    </xf>
    <xf numFmtId="0" fontId="13" fillId="19" borderId="2" xfId="0" applyFont="1" applyFill="1" applyBorder="1" applyAlignment="1">
      <alignment horizontal="center"/>
    </xf>
    <xf numFmtId="3" fontId="13" fillId="19" borderId="2" xfId="0" applyNumberFormat="1" applyFont="1" applyFill="1" applyBorder="1" applyAlignment="1">
      <alignment horizontal="right" vertical="center"/>
    </xf>
    <xf numFmtId="9" fontId="14" fillId="19" borderId="2" xfId="2" applyFont="1" applyFill="1" applyBorder="1" applyAlignment="1">
      <alignment horizontal="right" vertical="center"/>
    </xf>
    <xf numFmtId="9" fontId="13" fillId="19" borderId="2" xfId="2" applyFont="1" applyFill="1" applyBorder="1" applyAlignment="1">
      <alignment horizontal="right" vertical="center"/>
    </xf>
    <xf numFmtId="9" fontId="13" fillId="19" borderId="3" xfId="2" applyFont="1" applyFill="1" applyBorder="1" applyAlignment="1">
      <alignment horizontal="right" vertical="center"/>
    </xf>
    <xf numFmtId="0" fontId="2" fillId="21" borderId="1" xfId="0" applyFont="1" applyFill="1" applyBorder="1" applyAlignment="1">
      <alignment horizontal="center" readingOrder="2"/>
    </xf>
    <xf numFmtId="0" fontId="2" fillId="21" borderId="2" xfId="0" applyFont="1" applyFill="1" applyBorder="1" applyAlignment="1">
      <alignment horizontal="center"/>
    </xf>
    <xf numFmtId="3" fontId="2" fillId="21" borderId="2" xfId="0" applyNumberFormat="1" applyFont="1" applyFill="1" applyBorder="1" applyAlignment="1">
      <alignment horizontal="right" vertical="center"/>
    </xf>
    <xf numFmtId="9" fontId="3" fillId="21" borderId="2" xfId="2" applyFont="1" applyFill="1" applyBorder="1" applyAlignment="1">
      <alignment horizontal="right" vertical="center"/>
    </xf>
    <xf numFmtId="9" fontId="2" fillId="21" borderId="2" xfId="2" applyFont="1" applyFill="1" applyBorder="1" applyAlignment="1">
      <alignment horizontal="right" vertical="center"/>
    </xf>
    <xf numFmtId="9" fontId="2" fillId="21" borderId="3" xfId="2" applyFont="1" applyFill="1" applyBorder="1" applyAlignment="1">
      <alignment horizontal="right" vertical="center"/>
    </xf>
    <xf numFmtId="0" fontId="3" fillId="22" borderId="1" xfId="0" applyFont="1" applyFill="1" applyBorder="1" applyAlignment="1">
      <alignment horizontal="right" readingOrder="2"/>
    </xf>
    <xf numFmtId="0" fontId="3" fillId="22" borderId="2" xfId="0" applyFont="1" applyFill="1" applyBorder="1" applyAlignment="1">
      <alignment horizontal="center"/>
    </xf>
    <xf numFmtId="3" fontId="3" fillId="22" borderId="2" xfId="0" applyNumberFormat="1" applyFont="1" applyFill="1" applyBorder="1" applyAlignment="1">
      <alignment horizontal="right" vertical="center"/>
    </xf>
    <xf numFmtId="9" fontId="3" fillId="22" borderId="2" xfId="2" applyFont="1" applyFill="1" applyBorder="1" applyAlignment="1">
      <alignment horizontal="right" vertical="center"/>
    </xf>
    <xf numFmtId="9" fontId="3" fillId="22" borderId="3" xfId="2" applyFont="1" applyFill="1" applyBorder="1" applyAlignment="1">
      <alignment horizontal="right" vertical="center"/>
    </xf>
    <xf numFmtId="0" fontId="3" fillId="22" borderId="4" xfId="0" applyFont="1" applyFill="1" applyBorder="1" applyAlignment="1">
      <alignment horizontal="right" readingOrder="2"/>
    </xf>
    <xf numFmtId="165" fontId="3" fillId="22" borderId="4" xfId="1" applyNumberFormat="1" applyFont="1" applyFill="1" applyBorder="1" applyAlignment="1">
      <alignment horizontal="right" vertical="center" readingOrder="2"/>
    </xf>
    <xf numFmtId="0" fontId="2" fillId="23" borderId="2" xfId="0" applyFont="1" applyFill="1" applyBorder="1" applyAlignment="1">
      <alignment horizontal="center"/>
    </xf>
    <xf numFmtId="165" fontId="2" fillId="23" borderId="2" xfId="1" applyNumberFormat="1" applyFont="1" applyFill="1" applyBorder="1" applyAlignment="1">
      <alignment horizontal="right" vertical="center"/>
    </xf>
    <xf numFmtId="9" fontId="3" fillId="23" borderId="2" xfId="2" applyFont="1" applyFill="1" applyBorder="1" applyAlignment="1">
      <alignment horizontal="right" vertical="center"/>
    </xf>
    <xf numFmtId="9" fontId="2" fillId="23" borderId="2" xfId="2" applyFont="1" applyFill="1" applyBorder="1" applyAlignment="1">
      <alignment horizontal="right" vertical="center"/>
    </xf>
    <xf numFmtId="3" fontId="3" fillId="24" borderId="2" xfId="0" applyNumberFormat="1" applyFont="1" applyFill="1" applyBorder="1" applyAlignment="1">
      <alignment horizontal="right"/>
    </xf>
    <xf numFmtId="3" fontId="3" fillId="24" borderId="2" xfId="0" applyNumberFormat="1" applyFont="1" applyFill="1" applyBorder="1" applyAlignment="1">
      <alignment horizontal="center"/>
    </xf>
    <xf numFmtId="3" fontId="3" fillId="24" borderId="2" xfId="0" applyNumberFormat="1" applyFont="1" applyFill="1" applyBorder="1" applyAlignment="1">
      <alignment horizontal="right" vertical="center"/>
    </xf>
    <xf numFmtId="9" fontId="3" fillId="24" borderId="2" xfId="2" applyFont="1" applyFill="1" applyBorder="1" applyAlignment="1">
      <alignment horizontal="right" vertical="center"/>
    </xf>
    <xf numFmtId="9" fontId="3" fillId="24" borderId="3" xfId="2" applyFont="1" applyFill="1" applyBorder="1" applyAlignment="1">
      <alignment horizontal="right" vertical="center"/>
    </xf>
    <xf numFmtId="3" fontId="13" fillId="19" borderId="2" xfId="0" applyNumberFormat="1" applyFont="1" applyFill="1" applyBorder="1" applyAlignment="1">
      <alignment horizontal="right"/>
    </xf>
    <xf numFmtId="3" fontId="3" fillId="19" borderId="2" xfId="0" applyNumberFormat="1" applyFont="1" applyFill="1" applyBorder="1" applyAlignment="1">
      <alignment horizontal="right"/>
    </xf>
    <xf numFmtId="0" fontId="3" fillId="19" borderId="2" xfId="0" applyFont="1" applyFill="1" applyBorder="1" applyAlignment="1">
      <alignment horizontal="center"/>
    </xf>
    <xf numFmtId="3" fontId="3" fillId="19" borderId="2" xfId="0" applyNumberFormat="1" applyFont="1" applyFill="1" applyBorder="1" applyAlignment="1">
      <alignment horizontal="right" vertical="center"/>
    </xf>
    <xf numFmtId="9" fontId="3" fillId="18" borderId="2" xfId="2" applyFont="1" applyFill="1" applyBorder="1" applyAlignment="1">
      <alignment horizontal="right" vertical="center"/>
    </xf>
    <xf numFmtId="9" fontId="3" fillId="18" borderId="3" xfId="2" applyFont="1" applyFill="1" applyBorder="1" applyAlignment="1">
      <alignment horizontal="right" vertical="center"/>
    </xf>
    <xf numFmtId="9" fontId="3" fillId="19" borderId="2" xfId="2" applyFont="1" applyFill="1" applyBorder="1" applyAlignment="1">
      <alignment horizontal="right" vertical="center"/>
    </xf>
    <xf numFmtId="9" fontId="4" fillId="19" borderId="2" xfId="2" applyFont="1" applyFill="1" applyBorder="1" applyAlignment="1">
      <alignment horizontal="right" vertical="center"/>
    </xf>
    <xf numFmtId="9" fontId="3" fillId="19" borderId="3" xfId="2" applyFont="1" applyFill="1" applyBorder="1" applyAlignment="1">
      <alignment horizontal="right" vertical="center"/>
    </xf>
    <xf numFmtId="3" fontId="3" fillId="25" borderId="2" xfId="0" applyNumberFormat="1" applyFont="1" applyFill="1" applyBorder="1" applyAlignment="1">
      <alignment horizontal="right"/>
    </xf>
    <xf numFmtId="0" fontId="3" fillId="25" borderId="2" xfId="0" applyFont="1" applyFill="1" applyBorder="1" applyAlignment="1">
      <alignment horizontal="right" readingOrder="2"/>
    </xf>
    <xf numFmtId="3" fontId="3" fillId="25" borderId="2" xfId="0" applyNumberFormat="1" applyFont="1" applyFill="1" applyBorder="1" applyAlignment="1">
      <alignment horizontal="right" vertical="center"/>
    </xf>
    <xf numFmtId="9" fontId="3" fillId="25" borderId="2" xfId="2" applyFont="1" applyFill="1" applyBorder="1" applyAlignment="1">
      <alignment horizontal="right" vertical="center"/>
    </xf>
    <xf numFmtId="9" fontId="3" fillId="25" borderId="3" xfId="2" applyFont="1" applyFill="1" applyBorder="1" applyAlignment="1">
      <alignment horizontal="right" vertical="center"/>
    </xf>
    <xf numFmtId="3" fontId="3" fillId="25" borderId="6" xfId="0" applyNumberFormat="1" applyFont="1" applyFill="1" applyBorder="1" applyAlignment="1">
      <alignment horizontal="right"/>
    </xf>
    <xf numFmtId="0" fontId="3" fillId="25" borderId="6" xfId="0" applyFont="1" applyFill="1" applyBorder="1" applyAlignment="1">
      <alignment horizontal="right" readingOrder="2"/>
    </xf>
    <xf numFmtId="3" fontId="3" fillId="25" borderId="6" xfId="0" applyNumberFormat="1" applyFont="1" applyFill="1" applyBorder="1" applyAlignment="1">
      <alignment horizontal="right" vertical="center"/>
    </xf>
    <xf numFmtId="9" fontId="3" fillId="25" borderId="6" xfId="2" applyFont="1" applyFill="1" applyBorder="1" applyAlignment="1">
      <alignment horizontal="right" vertical="center"/>
    </xf>
    <xf numFmtId="9" fontId="3" fillId="25" borderId="7" xfId="2" applyFont="1" applyFill="1" applyBorder="1" applyAlignment="1">
      <alignment horizontal="right" vertical="center"/>
    </xf>
    <xf numFmtId="0" fontId="2" fillId="23" borderId="4" xfId="0" applyFont="1" applyFill="1" applyBorder="1" applyAlignment="1">
      <alignment horizontal="center" readingOrder="2"/>
    </xf>
    <xf numFmtId="9" fontId="2" fillId="23" borderId="3" xfId="2" applyFont="1" applyFill="1" applyBorder="1" applyAlignment="1">
      <alignment horizontal="right" vertical="center"/>
    </xf>
    <xf numFmtId="3" fontId="3" fillId="12" borderId="2" xfId="0" applyNumberFormat="1" applyFont="1" applyFill="1" applyBorder="1" applyAlignment="1">
      <alignment horizontal="center"/>
    </xf>
    <xf numFmtId="3" fontId="3" fillId="12" borderId="2" xfId="0" applyNumberFormat="1" applyFont="1" applyFill="1" applyBorder="1" applyAlignment="1">
      <alignment horizontal="right" vertical="center"/>
    </xf>
    <xf numFmtId="9" fontId="3" fillId="12" borderId="2" xfId="2" applyFont="1" applyFill="1" applyBorder="1" applyAlignment="1">
      <alignment horizontal="right" vertical="center"/>
    </xf>
    <xf numFmtId="9" fontId="3" fillId="12" borderId="3" xfId="2" applyFont="1" applyFill="1" applyBorder="1" applyAlignment="1">
      <alignment horizontal="right" vertical="center"/>
    </xf>
    <xf numFmtId="3" fontId="3" fillId="12" borderId="2" xfId="0" applyNumberFormat="1" applyFont="1" applyFill="1" applyBorder="1" applyAlignment="1">
      <alignment horizontal="right"/>
    </xf>
    <xf numFmtId="3" fontId="3" fillId="26" borderId="2" xfId="0" applyNumberFormat="1" applyFont="1" applyFill="1" applyBorder="1" applyAlignment="1">
      <alignment horizontal="right"/>
    </xf>
    <xf numFmtId="3" fontId="3" fillId="26" borderId="2" xfId="0" applyNumberFormat="1" applyFont="1" applyFill="1" applyBorder="1" applyAlignment="1">
      <alignment horizontal="center"/>
    </xf>
    <xf numFmtId="3" fontId="3" fillId="26" borderId="2" xfId="0" applyNumberFormat="1" applyFont="1" applyFill="1" applyBorder="1" applyAlignment="1">
      <alignment horizontal="right" vertical="center"/>
    </xf>
    <xf numFmtId="9" fontId="3" fillId="26" borderId="2" xfId="2" applyFont="1" applyFill="1" applyBorder="1" applyAlignment="1">
      <alignment horizontal="right" vertical="center"/>
    </xf>
    <xf numFmtId="9" fontId="3" fillId="26" borderId="3" xfId="2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readingOrder="2"/>
    </xf>
    <xf numFmtId="0" fontId="2" fillId="7" borderId="2" xfId="0" applyFont="1" applyFill="1" applyBorder="1" applyAlignment="1">
      <alignment horizontal="center"/>
    </xf>
    <xf numFmtId="165" fontId="2" fillId="7" borderId="2" xfId="1" applyNumberFormat="1" applyFont="1" applyFill="1" applyBorder="1" applyAlignment="1">
      <alignment horizontal="right" vertical="center"/>
    </xf>
    <xf numFmtId="9" fontId="3" fillId="7" borderId="2" xfId="2" applyFont="1" applyFill="1" applyBorder="1" applyAlignment="1">
      <alignment horizontal="right" vertical="center"/>
    </xf>
    <xf numFmtId="9" fontId="2" fillId="7" borderId="2" xfId="2" applyFont="1" applyFill="1" applyBorder="1" applyAlignment="1">
      <alignment horizontal="right" vertical="center"/>
    </xf>
    <xf numFmtId="9" fontId="2" fillId="10" borderId="2" xfId="2" applyFont="1" applyFill="1" applyBorder="1" applyAlignment="1">
      <alignment horizontal="right" vertical="center"/>
    </xf>
    <xf numFmtId="9" fontId="2" fillId="28" borderId="2" xfId="2" applyFont="1" applyFill="1" applyBorder="1" applyAlignment="1">
      <alignment horizontal="right" vertical="center"/>
    </xf>
    <xf numFmtId="165" fontId="2" fillId="21" borderId="2" xfId="1" applyNumberFormat="1" applyFont="1" applyFill="1" applyBorder="1" applyAlignment="1">
      <alignment horizontal="right" vertical="center"/>
    </xf>
    <xf numFmtId="0" fontId="12" fillId="27" borderId="0" xfId="0" applyFont="1" applyFill="1" applyAlignment="1"/>
    <xf numFmtId="0" fontId="0" fillId="0" borderId="0" xfId="0" applyAlignment="1">
      <alignment textRotation="165"/>
    </xf>
    <xf numFmtId="0" fontId="19" fillId="10" borderId="8" xfId="0" applyFont="1" applyFill="1" applyBorder="1"/>
    <xf numFmtId="165" fontId="0" fillId="0" borderId="9" xfId="1" applyNumberFormat="1" applyFont="1" applyBorder="1"/>
    <xf numFmtId="0" fontId="19" fillId="10" borderId="11" xfId="0" applyFont="1" applyFill="1" applyBorder="1"/>
    <xf numFmtId="9" fontId="0" fillId="29" borderId="12" xfId="2" applyFont="1" applyFill="1" applyBorder="1"/>
    <xf numFmtId="9" fontId="0" fillId="28" borderId="12" xfId="2" applyFont="1" applyFill="1" applyBorder="1"/>
    <xf numFmtId="0" fontId="0" fillId="0" borderId="12" xfId="0" applyBorder="1"/>
    <xf numFmtId="9" fontId="0" fillId="6" borderId="12" xfId="2" applyFont="1" applyFill="1" applyBorder="1"/>
    <xf numFmtId="165" fontId="0" fillId="29" borderId="12" xfId="1" applyNumberFormat="1" applyFont="1" applyFill="1" applyBorder="1"/>
    <xf numFmtId="166" fontId="0" fillId="29" borderId="12" xfId="1" applyNumberFormat="1" applyFont="1" applyFill="1" applyBorder="1"/>
    <xf numFmtId="165" fontId="0" fillId="28" borderId="12" xfId="1" applyNumberFormat="1" applyFont="1" applyFill="1" applyBorder="1"/>
    <xf numFmtId="165" fontId="0" fillId="6" borderId="12" xfId="1" applyNumberFormat="1" applyFont="1" applyFill="1" applyBorder="1"/>
    <xf numFmtId="9" fontId="19" fillId="10" borderId="11" xfId="2" applyFont="1" applyFill="1" applyBorder="1"/>
    <xf numFmtId="0" fontId="19" fillId="10" borderId="14" xfId="0" applyFont="1" applyFill="1" applyBorder="1"/>
    <xf numFmtId="9" fontId="0" fillId="29" borderId="15" xfId="2" applyFont="1" applyFill="1" applyBorder="1"/>
    <xf numFmtId="9" fontId="0" fillId="28" borderId="15" xfId="2" applyFont="1" applyFill="1" applyBorder="1"/>
    <xf numFmtId="9" fontId="0" fillId="6" borderId="15" xfId="2" applyFont="1" applyFill="1" applyBorder="1"/>
    <xf numFmtId="0" fontId="15" fillId="0" borderId="0" xfId="0" applyFont="1" applyAlignment="1">
      <alignment horizontal="center"/>
    </xf>
    <xf numFmtId="166" fontId="0" fillId="29" borderId="22" xfId="1" applyNumberFormat="1" applyFont="1" applyFill="1" applyBorder="1"/>
    <xf numFmtId="165" fontId="0" fillId="0" borderId="22" xfId="1" applyNumberFormat="1" applyFont="1" applyBorder="1"/>
    <xf numFmtId="165" fontId="0" fillId="28" borderId="22" xfId="1" applyNumberFormat="1" applyFont="1" applyFill="1" applyBorder="1"/>
    <xf numFmtId="0" fontId="0" fillId="0" borderId="22" xfId="0" applyBorder="1"/>
    <xf numFmtId="9" fontId="0" fillId="6" borderId="22" xfId="2" applyFont="1" applyFill="1" applyBorder="1"/>
    <xf numFmtId="0" fontId="18" fillId="29" borderId="21" xfId="0" applyFont="1" applyFill="1" applyBorder="1" applyAlignment="1"/>
    <xf numFmtId="0" fontId="17" fillId="0" borderId="21" xfId="0" applyFont="1" applyBorder="1"/>
    <xf numFmtId="0" fontId="16" fillId="29" borderId="21" xfId="0" applyFont="1" applyFill="1" applyBorder="1" applyAlignment="1">
      <alignment horizontal="center" vertical="center" textRotation="75"/>
    </xf>
    <xf numFmtId="0" fontId="16" fillId="0" borderId="21" xfId="0" applyFont="1" applyBorder="1" applyAlignment="1">
      <alignment horizontal="center" vertical="center" textRotation="75"/>
    </xf>
    <xf numFmtId="0" fontId="16" fillId="28" borderId="21" xfId="0" applyFont="1" applyFill="1" applyBorder="1" applyAlignment="1">
      <alignment horizontal="center" vertical="center" textRotation="75"/>
    </xf>
    <xf numFmtId="0" fontId="16" fillId="6" borderId="21" xfId="0" applyFont="1" applyFill="1" applyBorder="1" applyAlignment="1">
      <alignment horizontal="center" vertical="center" textRotation="75"/>
    </xf>
    <xf numFmtId="9" fontId="0" fillId="10" borderId="22" xfId="2" applyFont="1" applyFill="1" applyBorder="1"/>
    <xf numFmtId="165" fontId="0" fillId="10" borderId="12" xfId="1" applyNumberFormat="1" applyFont="1" applyFill="1" applyBorder="1"/>
    <xf numFmtId="9" fontId="0" fillId="10" borderId="15" xfId="2" applyFont="1" applyFill="1" applyBorder="1"/>
    <xf numFmtId="0" fontId="19" fillId="16" borderId="11" xfId="0" applyFont="1" applyFill="1" applyBorder="1"/>
    <xf numFmtId="165" fontId="0" fillId="16" borderId="12" xfId="1" applyNumberFormat="1" applyFont="1" applyFill="1" applyBorder="1"/>
    <xf numFmtId="9" fontId="19" fillId="16" borderId="11" xfId="2" applyFont="1" applyFill="1" applyBorder="1"/>
    <xf numFmtId="9" fontId="0" fillId="16" borderId="12" xfId="2" applyFont="1" applyFill="1" applyBorder="1"/>
    <xf numFmtId="0" fontId="0" fillId="16" borderId="12" xfId="0" applyFill="1" applyBorder="1"/>
    <xf numFmtId="0" fontId="0" fillId="27" borderId="12" xfId="0" applyFill="1" applyBorder="1"/>
    <xf numFmtId="0" fontId="0" fillId="27" borderId="15" xfId="0" applyFill="1" applyBorder="1"/>
    <xf numFmtId="165" fontId="0" fillId="27" borderId="12" xfId="1" applyNumberFormat="1" applyFont="1" applyFill="1" applyBorder="1"/>
    <xf numFmtId="9" fontId="0" fillId="27" borderId="15" xfId="2" applyFont="1" applyFill="1" applyBorder="1"/>
    <xf numFmtId="9" fontId="0" fillId="10" borderId="23" xfId="2" applyFont="1" applyFill="1" applyBorder="1"/>
    <xf numFmtId="9" fontId="0" fillId="6" borderId="24" xfId="2" applyFont="1" applyFill="1" applyBorder="1"/>
    <xf numFmtId="9" fontId="0" fillId="6" borderId="25" xfId="2" applyFont="1" applyFill="1" applyBorder="1"/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16" borderId="27" xfId="0" applyFill="1" applyBorder="1" applyAlignment="1">
      <alignment wrapText="1"/>
    </xf>
    <xf numFmtId="0" fontId="0" fillId="27" borderId="27" xfId="0" applyFill="1" applyBorder="1" applyAlignment="1">
      <alignment wrapText="1"/>
    </xf>
    <xf numFmtId="0" fontId="0" fillId="27" borderId="28" xfId="0" applyFill="1" applyBorder="1" applyAlignment="1">
      <alignment wrapText="1"/>
    </xf>
    <xf numFmtId="166" fontId="0" fillId="14" borderId="22" xfId="1" applyNumberFormat="1" applyFont="1" applyFill="1" applyBorder="1"/>
    <xf numFmtId="10" fontId="0" fillId="28" borderId="12" xfId="2" applyNumberFormat="1" applyFont="1" applyFill="1" applyBorder="1"/>
    <xf numFmtId="0" fontId="0" fillId="4" borderId="29" xfId="0" applyFill="1" applyBorder="1"/>
    <xf numFmtId="9" fontId="0" fillId="4" borderId="29" xfId="2" applyFont="1" applyFill="1" applyBorder="1"/>
    <xf numFmtId="0" fontId="0" fillId="0" borderId="29" xfId="0" applyBorder="1"/>
    <xf numFmtId="165" fontId="0" fillId="0" borderId="29" xfId="1" applyNumberFormat="1" applyFont="1" applyBorder="1"/>
    <xf numFmtId="9" fontId="0" fillId="0" borderId="29" xfId="2" applyFont="1" applyBorder="1"/>
    <xf numFmtId="165" fontId="0" fillId="4" borderId="29" xfId="1" applyNumberFormat="1" applyFont="1" applyFill="1" applyBorder="1"/>
    <xf numFmtId="0" fontId="2" fillId="10" borderId="3" xfId="0" applyFont="1" applyFill="1" applyBorder="1" applyAlignment="1">
      <alignment horizontal="center" vertical="center" wrapText="1" readingOrder="2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readingOrder="2"/>
    </xf>
    <xf numFmtId="0" fontId="2" fillId="10" borderId="4" xfId="0" applyFont="1" applyFill="1" applyBorder="1" applyAlignment="1">
      <alignment horizontal="center" vertical="center" readingOrder="2"/>
    </xf>
    <xf numFmtId="0" fontId="2" fillId="10" borderId="5" xfId="0" applyFont="1" applyFill="1" applyBorder="1" applyAlignment="1">
      <alignment horizontal="center" vertical="center" readingOrder="2"/>
    </xf>
    <xf numFmtId="0" fontId="12" fillId="7" borderId="20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 readingOrder="2"/>
    </xf>
    <xf numFmtId="0" fontId="2" fillId="18" borderId="4" xfId="0" applyFont="1" applyFill="1" applyBorder="1" applyAlignment="1">
      <alignment horizontal="center" vertical="center" readingOrder="2"/>
    </xf>
    <xf numFmtId="0" fontId="2" fillId="18" borderId="5" xfId="0" applyFont="1" applyFill="1" applyBorder="1" applyAlignment="1">
      <alignment horizontal="center" vertical="center" readingOrder="2"/>
    </xf>
    <xf numFmtId="0" fontId="2" fillId="18" borderId="3" xfId="0" applyFont="1" applyFill="1" applyBorder="1" applyAlignment="1">
      <alignment horizontal="center" vertical="center" wrapText="1" readingOrder="2"/>
    </xf>
    <xf numFmtId="0" fontId="2" fillId="18" borderId="5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28" borderId="21" xfId="0" applyFont="1" applyFill="1" applyBorder="1" applyAlignment="1">
      <alignment horizontal="center"/>
    </xf>
    <xf numFmtId="0" fontId="17" fillId="29" borderId="21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 readingOrder="2"/>
    </xf>
    <xf numFmtId="0" fontId="2" fillId="10" borderId="4" xfId="0" applyFont="1" applyFill="1" applyBorder="1" applyAlignment="1">
      <alignment horizontal="center" vertical="center" wrapText="1" readingOrder="2"/>
    </xf>
    <xf numFmtId="0" fontId="2" fillId="11" borderId="2" xfId="0" applyFont="1" applyFill="1" applyBorder="1" applyAlignment="1">
      <alignment horizontal="center" readingOrder="2"/>
    </xf>
    <xf numFmtId="0" fontId="2" fillId="4" borderId="2" xfId="0" applyFont="1" applyFill="1" applyBorder="1" applyAlignment="1">
      <alignment horizontal="center" readingOrder="2"/>
    </xf>
    <xf numFmtId="0" fontId="3" fillId="9" borderId="2" xfId="0" applyFont="1" applyFill="1" applyBorder="1" applyAlignment="1">
      <alignment horizontal="right" readingOrder="2"/>
    </xf>
    <xf numFmtId="0" fontId="5" fillId="9" borderId="0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readingOrder="2"/>
    </xf>
    <xf numFmtId="0" fontId="3" fillId="3" borderId="2" xfId="0" applyFont="1" applyFill="1" applyBorder="1" applyAlignment="1">
      <alignment horizontal="right" readingOrder="2"/>
    </xf>
    <xf numFmtId="0" fontId="2" fillId="5" borderId="2" xfId="0" applyFont="1" applyFill="1" applyBorder="1" applyAlignment="1">
      <alignment horizontal="center" readingOrder="2"/>
    </xf>
    <xf numFmtId="3" fontId="3" fillId="2" borderId="33" xfId="0" applyNumberFormat="1" applyFont="1" applyFill="1" applyBorder="1" applyAlignment="1">
      <alignment horizontal="right"/>
    </xf>
    <xf numFmtId="0" fontId="3" fillId="2" borderId="33" xfId="0" applyFont="1" applyFill="1" applyBorder="1" applyAlignment="1">
      <alignment horizontal="right" readingOrder="2"/>
    </xf>
    <xf numFmtId="3" fontId="3" fillId="2" borderId="33" xfId="0" applyNumberFormat="1" applyFont="1" applyFill="1" applyBorder="1" applyAlignment="1">
      <alignment horizontal="right" vertical="center"/>
    </xf>
    <xf numFmtId="9" fontId="3" fillId="2" borderId="33" xfId="2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3" fillId="7" borderId="2" xfId="0" applyNumberFormat="1" applyFont="1" applyFill="1" applyBorder="1" applyAlignment="1">
      <alignment horizontal="right" vertical="center"/>
    </xf>
    <xf numFmtId="164" fontId="10" fillId="0" borderId="12" xfId="1" applyFont="1" applyBorder="1"/>
  </cellXfs>
  <cellStyles count="3">
    <cellStyle name="Comma" xfId="1" builtinId="3"/>
    <cellStyle name="Normal" xfId="0" builtinId="0"/>
    <cellStyle name="Percent" xfId="2" builtinId="5"/>
  </cellStyles>
  <dxfs count="37">
    <dxf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 * #,##0_ ;_ * \-#,##0_ ;_ * &quot;-&quot;??_ ;_ @_ "/>
      <fill>
        <patternFill patternType="solid">
          <fgColor indexed="64"/>
          <bgColor rgb="FFFFC000"/>
        </patternFill>
      </fill>
      <border diagonalUp="0" diagonalDown="0" outline="0">
        <left style="medium">
          <color auto="1"/>
        </left>
        <right style="thick">
          <color auto="1"/>
        </right>
        <top style="hair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* #,##0_ ;_ * \-#,##0_ ;_ * &quot;-&quot;??_ ;_ @_ "/>
      <fill>
        <patternFill patternType="solid">
          <fgColor indexed="64"/>
          <bgColor rgb="FFFFC000"/>
        </patternFill>
      </fill>
      <border diagonalUp="0" diagonalDown="0" outline="0">
        <left style="medium">
          <color auto="1"/>
        </left>
        <right style="medium">
          <color auto="1"/>
        </right>
        <top style="hair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* #,##0_ ;_ * \-#,##0_ ;_ * &quot;-&quot;??_ ;_ @_ "/>
      <fill>
        <patternFill patternType="solid">
          <fgColor indexed="64"/>
          <bgColor rgb="FFFFC000"/>
        </patternFill>
      </fill>
      <border diagonalUp="0" diagonalDown="0" outline="0">
        <left style="medium">
          <color auto="1"/>
        </left>
        <right style="medium">
          <color auto="1"/>
        </right>
        <top style="hair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 * #,##0_ ;_ * \-#,##0_ ;_ * &quot;-&quot;??_ ;_ @_ "/>
      <fill>
        <patternFill patternType="solid">
          <fgColor indexed="64"/>
          <bgColor rgb="FF92D050"/>
        </patternFill>
      </fill>
      <border diagonalUp="0" diagonalDown="0" outline="0">
        <left style="medium">
          <color auto="1"/>
        </left>
        <right style="medium">
          <color auto="1"/>
        </right>
        <top style="hair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* #,##0_ ;_ * \-#,##0_ ;_ * &quot;-&quot;??_ ;_ @_ "/>
      <fill>
        <patternFill patternType="solid">
          <fgColor indexed="64"/>
          <bgColor rgb="FF92D050"/>
        </patternFill>
      </fill>
      <border diagonalUp="0" diagonalDown="0" outline="0">
        <left style="medium">
          <color auto="1"/>
        </left>
        <right style="medium">
          <color auto="1"/>
        </right>
        <top style="hair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* #,##0_ ;_ * \-#,##0_ ;_ * &quot;-&quot;??_ ;_ @_ "/>
      <fill>
        <patternFill patternType="solid">
          <fgColor indexed="64"/>
          <bgColor rgb="FF92D050"/>
        </patternFill>
      </fill>
      <border diagonalUp="0" diagonalDown="0" outline="0">
        <left style="medium">
          <color auto="1"/>
        </left>
        <right style="medium">
          <color auto="1"/>
        </right>
        <top style="hair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5" formatCode="_ * #,##0_ ;_ * \-#,##0_ ;_ * &quot;-&quot;??_ ;_ @_ "/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 style="hair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* #,##0_ ;_ * \-#,##0_ ;_ * &quot;-&quot;??_ ;_ @_ "/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 style="hair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* #,##0_ ;_ * \-#,##0_ ;_ * &quot;-&quot;??_ ;_ @_ "/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 style="hair">
          <color auto="1"/>
        </top>
        <bottom style="thick">
          <color auto="1"/>
        </bottom>
      </border>
    </dxf>
    <dxf>
      <fill>
        <patternFill patternType="solid">
          <fgColor indexed="64"/>
          <bgColor rgb="FF92D050"/>
        </patternFill>
      </fill>
      <border diagonalUp="0" diagonalDown="0" outline="0">
        <left style="thick">
          <color auto="1"/>
        </left>
        <right style="medium">
          <color auto="1"/>
        </right>
        <top style="hair">
          <color auto="1"/>
        </top>
        <bottom style="thick">
          <color auto="1"/>
        </bottom>
      </border>
    </dxf>
    <dxf>
      <numFmt numFmtId="165" formatCode="_ * #,##0_ ;_ * \-#,##0_ ;_ * &quot;-&quot;??_ ;_ @_ "/>
    </dxf>
    <dxf>
      <numFmt numFmtId="164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* #,##0_ ;_ * \-#,##0_ ;_ * &quot;-&quot;??_ ;_ @_ "/>
      <border diagonalUp="0" diagonalDown="0">
        <left style="medium">
          <color auto="1"/>
        </left>
        <right style="medium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rgb="FF92D050"/>
        </patternFill>
      </fill>
      <border diagonalUp="0" diagonalDown="0">
        <left/>
        <right style="medium">
          <color auto="1"/>
        </right>
        <top style="hair">
          <color auto="1"/>
        </top>
        <bottom style="hair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hair">
          <color auto="1"/>
        </horizontal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medium">
          <color auto="1"/>
        </left>
        <right/>
        <top/>
        <bottom/>
      </border>
    </dxf>
    <dxf>
      <numFmt numFmtId="0" formatCode="General"/>
      <border diagonalUp="0" diagonalDown="0">
        <left style="medium">
          <color auto="1"/>
        </left>
        <right/>
        <top style="hair">
          <color auto="1"/>
        </top>
        <bottom style="hair">
          <color auto="1"/>
        </bottom>
      </border>
    </dxf>
    <dxf>
      <numFmt numFmtId="0" formatCode="General"/>
      <border diagonalUp="0" diagonalDown="0">
        <left style="medium">
          <color auto="1"/>
        </left>
        <right style="medium">
          <color auto="1"/>
        </right>
        <top/>
        <bottom/>
      </border>
    </dxf>
    <dxf>
      <numFmt numFmtId="0" formatCode="General"/>
      <border diagonalUp="0" diagonalDown="0">
        <left style="medium">
          <color auto="1"/>
        </left>
        <right style="medium">
          <color auto="1"/>
        </right>
        <top style="hair">
          <color auto="1"/>
        </top>
        <bottom style="hair">
          <color auto="1"/>
        </bottom>
      </border>
    </dxf>
    <dxf>
      <numFmt numFmtId="165" formatCode="_ * #,##0_ ;_ * \-#,##0_ ;_ * &quot;-&quot;??_ ;_ @_ "/>
      <border diagonalUp="0" diagonalDown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* #,##0_ ;_ * \-#,##0_ ;_ * &quot;-&quot;??_ ;_ @_ "/>
      <border diagonalUp="0" diagonalDown="0">
        <left style="medium">
          <color auto="1"/>
        </left>
        <right style="medium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medium">
          <color auto="1"/>
        </left>
        <right style="medium">
          <color auto="1"/>
        </right>
        <top style="hair">
          <color auto="1"/>
        </top>
        <bottom style="hair">
          <color auto="1"/>
        </bottom>
      </border>
    </dxf>
    <dxf>
      <numFmt numFmtId="165" formatCode="_ * #,##0_ ;_ * \-#,##0_ ;_ * &quot;-&quot;??_ ;_ @_ "/>
      <border diagonalUp="0" diagonalDown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* #,##0_ ;_ * \-#,##0_ ;_ * &quot;-&quot;??_ ;_ @_ "/>
      <border diagonalUp="0" diagonalDown="0">
        <left style="medium">
          <color auto="1"/>
        </left>
        <right style="medium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border diagonalUp="0" diagonalDown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 * #,##0_ ;_ * \-#,##0_ ;_ * &quot;-&quot;??_ ;_ @_ "/>
      <border diagonalUp="0" diagonalDown="0">
        <left style="medium">
          <color auto="1"/>
        </left>
        <right style="medium">
          <color auto="1"/>
        </right>
        <top style="hair">
          <color auto="1"/>
        </top>
        <bottom style="hair">
          <color auto="1"/>
        </bottom>
      </border>
    </dxf>
    <dxf>
      <numFmt numFmtId="0" formatCode="General"/>
      <border diagonalUp="0" diagonalDown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 * #,##0_ ;_ * \-#,##0_ ;_ * &quot;-&quot;??_ ;_ @_ "/>
      <border diagonalUp="0" diagonalDown="0">
        <left style="medium">
          <color auto="1"/>
        </left>
        <right style="medium">
          <color auto="1"/>
        </right>
        <top style="hair">
          <color auto="1"/>
        </top>
        <bottom style="hair">
          <color auto="1"/>
        </bottom>
      </border>
    </dxf>
    <dxf>
      <fill>
        <patternFill patternType="solid">
          <fgColor indexed="64"/>
          <bgColor rgb="FF92D050"/>
        </patternFill>
      </fill>
      <border diagonalUp="0" diagonalDown="0">
        <left/>
        <right style="medium">
          <color auto="1"/>
        </right>
        <top/>
        <bottom/>
      </border>
    </dxf>
    <dxf>
      <fill>
        <patternFill patternType="solid">
          <fgColor indexed="64"/>
          <bgColor rgb="FF92D050"/>
        </patternFill>
      </fill>
      <border diagonalUp="0" diagonalDown="0">
        <left/>
        <right style="medium">
          <color auto="1"/>
        </right>
        <top style="hair">
          <color auto="1"/>
        </top>
        <bottom style="hair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hair">
          <color auto="1"/>
        </horizontal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9" defaultPivotStyle="PivotStyleLight16"/>
  <colors>
    <mruColors>
      <color rgb="FFFFFF99"/>
      <color rgb="FFFFFFCC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טבלה1" displayName="טבלה1" ref="A2:H8" totalsRowCount="1" headerRowDxfId="36" totalsRowDxfId="34" tableBorderDxfId="35">
  <tableColumns count="8">
    <tableColumn id="1" name=" " totalsRowLabel="סה&quot;כ" dataDxfId="33" totalsRowDxfId="32"/>
    <tableColumn id="2" name="2010" totalsRowFunction="sum" dataDxfId="31" totalsRowDxfId="30" dataCellStyle="Comma"/>
    <tableColumn id="3" name="2011" totalsRowFunction="sum" dataDxfId="29" totalsRowDxfId="28" dataCellStyle="Comma"/>
    <tableColumn id="5" name="הפרש" totalsRowFunction="custom" dataDxfId="27" totalsRowDxfId="26" dataCellStyle="Comma">
      <calculatedColumnFormula>טבלה1[[#This Row],[2011]]-טבלה1[[#This Row],[2010]]</calculatedColumnFormula>
      <totalsRowFormula>SUM(D3:D7)</totalsRowFormula>
    </tableColumn>
    <tableColumn id="6" name="אחוז" totalsRowFunction="custom" dataDxfId="25" totalsRowDxfId="24" dataCellStyle="Percent">
      <calculatedColumnFormula>טבלה1[[#This Row],[הפרש]]/טבלה1[[#This Row],[2010]]</calculatedColumnFormula>
      <totalsRowFormula>טבלה1[[#Totals],[הפרש]]/טבלה1[[#Totals],[2010]]</totalsRowFormula>
    </tableColumn>
    <tableColumn id="4" name="2012" totalsRowFunction="custom" dataDxfId="23" totalsRowDxfId="22" dataCellStyle="Comma">
      <totalsRowFormula>SUM(F3:F7)</totalsRowFormula>
    </tableColumn>
    <tableColumn id="7" name="הפרש2" totalsRowFunction="sum" dataDxfId="21" totalsRowDxfId="20">
      <calculatedColumnFormula>טבלה1[[#This Row],[2012]]-טבלה1[[#This Row],[2011]]</calculatedColumnFormula>
    </tableColumn>
    <tableColumn id="8" name="אחוז2" totalsRowFunction="custom" dataDxfId="19" totalsRowDxfId="18" dataCellStyle="Percent">
      <calculatedColumnFormula>טבלה1[[#This Row],[הפרש2]]/טבלה1[[#This Row],[2011]]</calculatedColumnFormula>
      <totalsRowFormula>טבלה1[[#Totals],[הפרש2]]/טבלה1[[#Totals],[2011]]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טבלה13" displayName="טבלה13" ref="A12:J22" totalsRowCount="1" headerRowDxfId="17" totalsRowDxfId="15" tableBorderDxfId="16">
  <tableColumns count="10">
    <tableColumn id="1" name=" " totalsRowLabel="סה&quot;כ" dataDxfId="14" totalsRowDxfId="10"/>
    <tableColumn id="2" name="מכירות בש&quot;ח" totalsRowFunction="sum" totalsRowDxfId="9" dataCellStyle="Comma"/>
    <tableColumn id="3" name="מס לקוחות" totalsRowFunction="sum" totalsRowDxfId="8" dataCellStyle="Comma"/>
    <tableColumn id="5" name="סל ממוצע" totalsRowFunction="custom" totalsRowDxfId="7" dataCellStyle="Comma">
      <calculatedColumnFormula>טבלה13[[#This Row],[מכירות בש"ח]]/טבלה13[[#This Row],[מס לקוחות]]</calculatedColumnFormula>
      <totalsRowFormula>טבלה13[[#Totals],[מכירות בש"ח]]/טבלה13[[#Totals],[מס לקוחות]]</totalsRowFormula>
    </tableColumn>
    <tableColumn id="6" name="80%    הכנסות" totalsRowFunction="sum" dataDxfId="13" totalsRowDxfId="6" dataCellStyle="Comma">
      <calculatedColumnFormula>טבלה13[[#This Row],[מכירות בש"ח]]*0.8</calculatedColumnFormula>
    </tableColumn>
    <tableColumn id="4" name="20%       לקוחות" totalsRowFunction="sum" totalsRowDxfId="5" dataCellStyle="Comma">
      <calculatedColumnFormula>טבלה13[[#This Row],[מס לקוחות]]*0.2</calculatedColumnFormula>
    </tableColumn>
    <tableColumn id="7" name="סל ממצוע כבדים" totalsRowFunction="custom" dataDxfId="12" totalsRowDxfId="4" dataCellStyle="Comma">
      <calculatedColumnFormula>טבלה13[[#This Row],[80%    הכנסות]]/טבלה13[[#This Row],[20%       לקוחות]]</calculatedColumnFormula>
      <totalsRowFormula>טבלה13[[#Totals],[80%    הכנסות]]/טבלה13[[#Totals],[20%       לקוחות]]</totalsRowFormula>
    </tableColumn>
    <tableColumn id="8" name="80%             לקוחות" totalsRowFunction="custom" dataDxfId="11" totalsRowDxfId="3" dataCellStyle="Comma">
      <calculatedColumnFormula>טבלה13[[#This Row],[מס לקוחות]]-טבלה13[[#This Row],[20%       לקוחות]]</calculatedColumnFormula>
      <totalsRowFormula>טבלה13[[#Totals],[מס לקוחות]]-טבלה13[[#Totals],[20%       לקוחות]]</totalsRowFormula>
    </tableColumn>
    <tableColumn id="9" name="20%       הכנסות" totalsRowFunction="custom" totalsRowDxfId="2" dataCellStyle="Comma">
      <calculatedColumnFormula>טבלה13[[#This Row],[מכירות בש"ח]]-טבלה13[[#This Row],[20%       לקוחות]]</calculatedColumnFormula>
      <totalsRowFormula>טבלה13[[#Totals],[מכירות בש"ח]]-טבלה13[[#Totals],[80%    הכנסות]]</totalsRowFormula>
    </tableColumn>
    <tableColumn id="10" name="סל ממוצע קלים" totalsRowFunction="custom" dataDxfId="0" totalsRowDxfId="1" dataCellStyle="Comma">
      <calculatedColumnFormula>טבלה13[[#This Row],[20%       הכנסות]]/טבלה13[[#This Row],[80%             לקוחות]]</calculatedColumnFormula>
      <totalsRowFormula>טבלה13[[#Totals],[20%       הכנסות]]/טבלה13[[#Totals],[80%             לקוחות]]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rightToLeft="1" workbookViewId="0">
      <selection sqref="A1:P35"/>
    </sheetView>
  </sheetViews>
  <sheetFormatPr defaultRowHeight="15" x14ac:dyDescent="0.25"/>
  <cols>
    <col min="1" max="1" width="21.28515625" customWidth="1"/>
    <col min="2" max="2" width="3" customWidth="1"/>
    <col min="3" max="3" width="15.140625" customWidth="1"/>
    <col min="4" max="4" width="8.140625" customWidth="1"/>
    <col min="5" max="5" width="11.28515625" customWidth="1"/>
    <col min="6" max="6" width="7.28515625" customWidth="1"/>
    <col min="7" max="7" width="11.42578125" customWidth="1"/>
    <col min="8" max="8" width="7.5703125" customWidth="1"/>
    <col min="9" max="9" width="13.28515625" customWidth="1"/>
    <col min="10" max="10" width="7.28515625" customWidth="1"/>
    <col min="11" max="11" width="11.42578125" customWidth="1"/>
    <col min="12" max="12" width="8.28515625" customWidth="1"/>
    <col min="13" max="13" width="11.7109375" customWidth="1"/>
    <col min="14" max="14" width="8.140625" customWidth="1"/>
    <col min="15" max="15" width="12.28515625" customWidth="1"/>
    <col min="16" max="16" width="9.28515625" customWidth="1"/>
  </cols>
  <sheetData>
    <row r="1" spans="1:16" ht="26.25" x14ac:dyDescent="0.4">
      <c r="A1" s="247" t="s">
        <v>120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9"/>
    </row>
    <row r="2" spans="1:16" ht="15.75" x14ac:dyDescent="0.25">
      <c r="A2" s="250" t="s">
        <v>1</v>
      </c>
      <c r="B2" s="4" t="s">
        <v>0</v>
      </c>
      <c r="C2" s="220" t="s">
        <v>40</v>
      </c>
      <c r="D2" s="221"/>
      <c r="E2" s="222" t="s">
        <v>24</v>
      </c>
      <c r="F2" s="223"/>
      <c r="G2" s="222" t="s">
        <v>25</v>
      </c>
      <c r="H2" s="223"/>
      <c r="I2" s="224" t="s">
        <v>37</v>
      </c>
      <c r="J2" s="223"/>
      <c r="K2" s="222" t="s">
        <v>26</v>
      </c>
      <c r="L2" s="223"/>
      <c r="M2" s="222" t="s">
        <v>27</v>
      </c>
      <c r="N2" s="223"/>
      <c r="O2" s="219" t="s">
        <v>12</v>
      </c>
      <c r="P2" s="251"/>
    </row>
    <row r="3" spans="1:16" ht="15.75" x14ac:dyDescent="0.25">
      <c r="A3" s="252" t="s">
        <v>20</v>
      </c>
      <c r="B3" s="12"/>
      <c r="C3" s="13">
        <v>2761266</v>
      </c>
      <c r="D3" s="14">
        <v>1</v>
      </c>
      <c r="E3" s="13">
        <v>903856</v>
      </c>
      <c r="F3" s="14">
        <v>0.32733391132907874</v>
      </c>
      <c r="G3" s="13">
        <v>977943</v>
      </c>
      <c r="H3" s="14">
        <v>0.35416472009578215</v>
      </c>
      <c r="I3" s="13">
        <v>294580</v>
      </c>
      <c r="J3" s="14">
        <v>0.10668294905307928</v>
      </c>
      <c r="K3" s="13">
        <v>141706</v>
      </c>
      <c r="L3" s="14">
        <v>5.1319213722980692E-2</v>
      </c>
      <c r="M3" s="13">
        <v>388681</v>
      </c>
      <c r="N3" s="14">
        <v>0.14076188241190815</v>
      </c>
      <c r="O3" s="13">
        <v>54500</v>
      </c>
      <c r="P3" s="14">
        <v>1.9737323387170956E-2</v>
      </c>
    </row>
    <row r="4" spans="1:16" ht="15.75" x14ac:dyDescent="0.25">
      <c r="A4" s="252" t="s">
        <v>39</v>
      </c>
      <c r="B4" s="12" t="s">
        <v>2</v>
      </c>
      <c r="C4" s="13">
        <f t="shared" ref="C4:C14" si="0">E4+G4+I4+K4+M4+O4</f>
        <v>2761266</v>
      </c>
      <c r="D4" s="14">
        <f t="shared" ref="D4:D17" si="1">C4/$C$4</f>
        <v>1</v>
      </c>
      <c r="E4" s="13">
        <v>903856</v>
      </c>
      <c r="F4" s="14">
        <f>E4/E4</f>
        <v>1</v>
      </c>
      <c r="G4" s="13">
        <v>977943</v>
      </c>
      <c r="H4" s="14">
        <f>G4/G4</f>
        <v>1</v>
      </c>
      <c r="I4" s="263">
        <v>294580</v>
      </c>
      <c r="J4" s="14">
        <f>I4/I4</f>
        <v>1</v>
      </c>
      <c r="K4" s="263">
        <f>96706+C9+C18</f>
        <v>141706</v>
      </c>
      <c r="L4" s="14">
        <f>K4/K4</f>
        <v>1</v>
      </c>
      <c r="M4" s="13">
        <v>388681</v>
      </c>
      <c r="N4" s="14">
        <f>M4/M4</f>
        <v>1</v>
      </c>
      <c r="O4" s="263">
        <v>54500</v>
      </c>
      <c r="P4" s="14">
        <f>O4/O4</f>
        <v>1</v>
      </c>
    </row>
    <row r="5" spans="1:16" ht="15.75" x14ac:dyDescent="0.25">
      <c r="A5" s="253" t="s">
        <v>11</v>
      </c>
      <c r="B5" s="9" t="s">
        <v>4</v>
      </c>
      <c r="C5" s="10">
        <f>SUM(C6:C14)</f>
        <v>1934734.1379310344</v>
      </c>
      <c r="D5" s="11">
        <f t="shared" si="1"/>
        <v>0.70066923575310547</v>
      </c>
      <c r="E5" s="10">
        <f>SUM(E6:E14)</f>
        <v>716792.86206896545</v>
      </c>
      <c r="F5" s="11">
        <f t="shared" ref="F5:F31" si="2">E5/E$4</f>
        <v>0.79303878280275342</v>
      </c>
      <c r="G5" s="10">
        <f>SUM(G6:G14)</f>
        <v>467525.31034482759</v>
      </c>
      <c r="H5" s="11">
        <f t="shared" ref="H5:H31" si="3">G5/G$4</f>
        <v>0.4780701025978279</v>
      </c>
      <c r="I5" s="10">
        <f>SUM(I6:I14)</f>
        <v>284447.31034482759</v>
      </c>
      <c r="J5" s="11">
        <f t="shared" ref="J5:J31" si="4">I5/I$4</f>
        <v>0.96560292737058728</v>
      </c>
      <c r="K5" s="10">
        <f>SUM(K6:K14)</f>
        <v>111588</v>
      </c>
      <c r="L5" s="11">
        <f t="shared" ref="L5:L31" si="5">K5/K$4</f>
        <v>0.78746136366844033</v>
      </c>
      <c r="M5" s="10">
        <f>SUM(M6:M14)</f>
        <v>271306</v>
      </c>
      <c r="N5" s="11">
        <f t="shared" ref="N5:N31" si="6">M5/M$4</f>
        <v>0.69801714001970772</v>
      </c>
      <c r="O5" s="10">
        <f>SUM(O6:O14)</f>
        <v>0</v>
      </c>
      <c r="P5" s="11">
        <f t="shared" ref="P5:P31" si="7">O5/O$4</f>
        <v>0</v>
      </c>
    </row>
    <row r="6" spans="1:16" ht="15.75" x14ac:dyDescent="0.25">
      <c r="A6" s="254" t="s">
        <v>17</v>
      </c>
      <c r="B6" s="21" t="s">
        <v>3</v>
      </c>
      <c r="C6" s="264">
        <f t="shared" si="0"/>
        <v>791378</v>
      </c>
      <c r="D6" s="23">
        <f t="shared" si="1"/>
        <v>0.28659969738518493</v>
      </c>
      <c r="E6" s="22">
        <v>465517</v>
      </c>
      <c r="F6" s="23">
        <f t="shared" si="2"/>
        <v>0.51503447451806483</v>
      </c>
      <c r="G6" s="22">
        <v>198275</v>
      </c>
      <c r="H6" s="23">
        <f t="shared" si="3"/>
        <v>0.2027469903665142</v>
      </c>
      <c r="I6" s="22">
        <f>77586+50000</f>
        <v>127586</v>
      </c>
      <c r="J6" s="23">
        <f t="shared" si="4"/>
        <v>0.43311154864552925</v>
      </c>
      <c r="K6" s="22"/>
      <c r="L6" s="23">
        <f t="shared" si="5"/>
        <v>0</v>
      </c>
      <c r="M6" s="255"/>
      <c r="N6" s="23">
        <f t="shared" si="6"/>
        <v>0</v>
      </c>
      <c r="O6" s="264"/>
      <c r="P6" s="23">
        <f t="shared" si="7"/>
        <v>0</v>
      </c>
    </row>
    <row r="7" spans="1:16" ht="15.75" x14ac:dyDescent="0.25">
      <c r="A7" s="254" t="s">
        <v>31</v>
      </c>
      <c r="B7" s="21" t="s">
        <v>3</v>
      </c>
      <c r="C7" s="22">
        <f t="shared" si="0"/>
        <v>500941</v>
      </c>
      <c r="D7" s="23">
        <f t="shared" si="1"/>
        <v>0.18141714706225334</v>
      </c>
      <c r="E7" s="22">
        <v>130000</v>
      </c>
      <c r="F7" s="23">
        <f t="shared" si="2"/>
        <v>0.14382822042449239</v>
      </c>
      <c r="G7" s="22">
        <v>119871</v>
      </c>
      <c r="H7" s="23">
        <f t="shared" si="3"/>
        <v>0.12257462858264745</v>
      </c>
      <c r="I7" s="22">
        <f>89170+54812</f>
        <v>143982</v>
      </c>
      <c r="J7" s="23">
        <f t="shared" si="4"/>
        <v>0.48877045284812276</v>
      </c>
      <c r="K7" s="22">
        <v>107088</v>
      </c>
      <c r="L7" s="23">
        <f t="shared" si="5"/>
        <v>0.75570547471525551</v>
      </c>
      <c r="M7" s="22"/>
      <c r="N7" s="23">
        <f t="shared" si="6"/>
        <v>0</v>
      </c>
      <c r="O7" s="22"/>
      <c r="P7" s="23">
        <f t="shared" si="7"/>
        <v>0</v>
      </c>
    </row>
    <row r="8" spans="1:16" ht="15.75" x14ac:dyDescent="0.25">
      <c r="A8" s="254" t="s">
        <v>30</v>
      </c>
      <c r="B8" s="21" t="s">
        <v>3</v>
      </c>
      <c r="C8" s="22">
        <f t="shared" si="0"/>
        <v>323030.13793103449</v>
      </c>
      <c r="D8" s="23">
        <f t="shared" si="1"/>
        <v>0.1169862439660049</v>
      </c>
      <c r="E8" s="22">
        <f>60000/1.16</f>
        <v>51724.137931034486</v>
      </c>
      <c r="F8" s="23">
        <f t="shared" si="2"/>
        <v>5.7226082397012892E-2</v>
      </c>
      <c r="G8" s="22"/>
      <c r="H8" s="23">
        <f t="shared" si="3"/>
        <v>0</v>
      </c>
      <c r="I8" s="22"/>
      <c r="J8" s="23">
        <f t="shared" si="4"/>
        <v>0</v>
      </c>
      <c r="K8" s="22"/>
      <c r="L8" s="23">
        <f t="shared" si="5"/>
        <v>0</v>
      </c>
      <c r="M8" s="22">
        <v>271306</v>
      </c>
      <c r="N8" s="23">
        <f t="shared" si="6"/>
        <v>0.69801714001970772</v>
      </c>
      <c r="O8" s="22"/>
      <c r="P8" s="23">
        <f t="shared" si="7"/>
        <v>0</v>
      </c>
    </row>
    <row r="9" spans="1:16" ht="15.75" x14ac:dyDescent="0.25">
      <c r="A9" s="254" t="s">
        <v>38</v>
      </c>
      <c r="B9" s="21"/>
      <c r="C9" s="264">
        <f t="shared" si="0"/>
        <v>20000</v>
      </c>
      <c r="D9" s="23">
        <f t="shared" si="1"/>
        <v>7.2430544540076905E-3</v>
      </c>
      <c r="E9" s="264">
        <v>5000</v>
      </c>
      <c r="F9" s="23">
        <f t="shared" si="2"/>
        <v>5.5318546317112459E-3</v>
      </c>
      <c r="G9" s="264">
        <v>15000</v>
      </c>
      <c r="H9" s="23">
        <f t="shared" si="3"/>
        <v>1.5338317263889614E-2</v>
      </c>
      <c r="I9" s="22">
        <v>0</v>
      </c>
      <c r="J9" s="23">
        <f t="shared" si="4"/>
        <v>0</v>
      </c>
      <c r="K9" s="22"/>
      <c r="L9" s="23">
        <f t="shared" si="5"/>
        <v>0</v>
      </c>
      <c r="M9" s="22"/>
      <c r="N9" s="23">
        <f t="shared" si="6"/>
        <v>0</v>
      </c>
      <c r="O9" s="22"/>
      <c r="P9" s="23">
        <f t="shared" si="7"/>
        <v>0</v>
      </c>
    </row>
    <row r="10" spans="1:16" ht="15.75" x14ac:dyDescent="0.25">
      <c r="A10" s="254" t="s">
        <v>33</v>
      </c>
      <c r="B10" s="21" t="s">
        <v>3</v>
      </c>
      <c r="C10" s="22">
        <f>4567+37408+354</f>
        <v>42329</v>
      </c>
      <c r="D10" s="23">
        <f t="shared" si="1"/>
        <v>1.5329562599184577E-2</v>
      </c>
      <c r="E10" s="22"/>
      <c r="F10" s="23">
        <f t="shared" si="2"/>
        <v>0</v>
      </c>
      <c r="G10" s="22"/>
      <c r="H10" s="23">
        <f t="shared" si="3"/>
        <v>0</v>
      </c>
      <c r="I10" s="22"/>
      <c r="J10" s="23">
        <f t="shared" si="4"/>
        <v>0</v>
      </c>
      <c r="K10" s="22"/>
      <c r="L10" s="23">
        <f t="shared" si="5"/>
        <v>0</v>
      </c>
      <c r="M10" s="22"/>
      <c r="N10" s="23">
        <f t="shared" si="6"/>
        <v>0</v>
      </c>
      <c r="O10" s="22"/>
      <c r="P10" s="23">
        <f t="shared" si="7"/>
        <v>0</v>
      </c>
    </row>
    <row r="11" spans="1:16" ht="15.75" x14ac:dyDescent="0.25">
      <c r="A11" s="254" t="s">
        <v>34</v>
      </c>
      <c r="B11" s="21" t="s">
        <v>3</v>
      </c>
      <c r="C11" s="22">
        <v>54662</v>
      </c>
      <c r="D11" s="23">
        <f t="shared" si="1"/>
        <v>1.9795992128248421E-2</v>
      </c>
      <c r="E11" s="22">
        <f>18000/1.16</f>
        <v>15517.241379310346</v>
      </c>
      <c r="F11" s="23">
        <f t="shared" si="2"/>
        <v>1.7167824719103868E-2</v>
      </c>
      <c r="G11" s="22">
        <f>18000/1.16</f>
        <v>15517.241379310346</v>
      </c>
      <c r="H11" s="23">
        <f t="shared" si="3"/>
        <v>1.5867224755747877E-2</v>
      </c>
      <c r="I11" s="22">
        <f>4500/1.16</f>
        <v>3879.3103448275865</v>
      </c>
      <c r="J11" s="23">
        <f t="shared" si="4"/>
        <v>1.3168953577390136E-2</v>
      </c>
      <c r="K11" s="22"/>
      <c r="L11" s="23">
        <f t="shared" si="5"/>
        <v>0</v>
      </c>
      <c r="M11" s="22"/>
      <c r="N11" s="23">
        <f t="shared" si="6"/>
        <v>0</v>
      </c>
      <c r="O11" s="22"/>
      <c r="P11" s="23">
        <f t="shared" si="7"/>
        <v>0</v>
      </c>
    </row>
    <row r="12" spans="1:16" ht="15.75" x14ac:dyDescent="0.25">
      <c r="A12" s="254" t="s">
        <v>23</v>
      </c>
      <c r="B12" s="21" t="s">
        <v>3</v>
      </c>
      <c r="C12" s="22">
        <f>31176+121718</f>
        <v>152894</v>
      </c>
      <c r="D12" s="23">
        <f t="shared" si="1"/>
        <v>5.5370978384552592E-2</v>
      </c>
      <c r="E12" s="22">
        <f>36000/1.16</f>
        <v>31034.482758620692</v>
      </c>
      <c r="F12" s="23">
        <f t="shared" si="2"/>
        <v>3.4335649438207737E-2</v>
      </c>
      <c r="G12" s="22">
        <f>(90000+27000)/1.16</f>
        <v>100862.06896551725</v>
      </c>
      <c r="H12" s="23">
        <f t="shared" si="3"/>
        <v>0.1031369609123612</v>
      </c>
      <c r="I12" s="22"/>
      <c r="J12" s="23">
        <f t="shared" si="4"/>
        <v>0</v>
      </c>
      <c r="K12" s="22"/>
      <c r="L12" s="23">
        <f t="shared" si="5"/>
        <v>0</v>
      </c>
      <c r="M12" s="22"/>
      <c r="N12" s="23">
        <f t="shared" si="6"/>
        <v>0</v>
      </c>
      <c r="O12" s="22"/>
      <c r="P12" s="23">
        <f t="shared" si="7"/>
        <v>0</v>
      </c>
    </row>
    <row r="13" spans="1:16" ht="15.75" x14ac:dyDescent="0.25">
      <c r="A13" s="254" t="s">
        <v>21</v>
      </c>
      <c r="B13" s="21" t="s">
        <v>3</v>
      </c>
      <c r="C13" s="22">
        <f>E13+G13+I13+K13</f>
        <v>49500</v>
      </c>
      <c r="D13" s="23">
        <f t="shared" si="1"/>
        <v>1.7926559773669033E-2</v>
      </c>
      <c r="E13" s="22">
        <v>18000</v>
      </c>
      <c r="F13" s="23">
        <f t="shared" si="2"/>
        <v>1.9914676674160487E-2</v>
      </c>
      <c r="G13" s="22">
        <v>18000</v>
      </c>
      <c r="H13" s="23">
        <f t="shared" si="3"/>
        <v>1.8405980716667537E-2</v>
      </c>
      <c r="I13" s="22">
        <v>9000</v>
      </c>
      <c r="J13" s="23">
        <f t="shared" si="4"/>
        <v>3.0551972299545115E-2</v>
      </c>
      <c r="K13" s="22">
        <v>4500</v>
      </c>
      <c r="L13" s="23">
        <f t="shared" si="5"/>
        <v>3.1755888953184763E-2</v>
      </c>
      <c r="M13" s="22"/>
      <c r="N13" s="23">
        <f t="shared" si="6"/>
        <v>0</v>
      </c>
      <c r="O13" s="22"/>
      <c r="P13" s="23">
        <f t="shared" si="7"/>
        <v>0</v>
      </c>
    </row>
    <row r="14" spans="1:16" ht="15.75" x14ac:dyDescent="0.25">
      <c r="A14" s="254" t="s">
        <v>12</v>
      </c>
      <c r="B14" s="21" t="s">
        <v>3</v>
      </c>
      <c r="C14" s="22">
        <f t="shared" si="0"/>
        <v>0</v>
      </c>
      <c r="D14" s="23">
        <f t="shared" si="1"/>
        <v>0</v>
      </c>
      <c r="E14" s="22"/>
      <c r="F14" s="23">
        <f t="shared" si="2"/>
        <v>0</v>
      </c>
      <c r="G14" s="22"/>
      <c r="H14" s="23">
        <f t="shared" si="3"/>
        <v>0</v>
      </c>
      <c r="I14" s="22"/>
      <c r="J14" s="23">
        <f t="shared" si="4"/>
        <v>0</v>
      </c>
      <c r="K14" s="22"/>
      <c r="L14" s="23">
        <f t="shared" si="5"/>
        <v>0</v>
      </c>
      <c r="M14" s="22"/>
      <c r="N14" s="23">
        <f t="shared" si="6"/>
        <v>0</v>
      </c>
      <c r="O14" s="22"/>
      <c r="P14" s="23">
        <f t="shared" si="7"/>
        <v>0</v>
      </c>
    </row>
    <row r="15" spans="1:16" ht="15.75" x14ac:dyDescent="0.25">
      <c r="A15" s="12" t="s">
        <v>5</v>
      </c>
      <c r="B15" s="12" t="s">
        <v>4</v>
      </c>
      <c r="C15" s="13">
        <f>C4-C5</f>
        <v>826531.86206896557</v>
      </c>
      <c r="D15" s="15">
        <f t="shared" si="1"/>
        <v>0.29933076424689459</v>
      </c>
      <c r="E15" s="13">
        <f>E4-E5</f>
        <v>187063.13793103455</v>
      </c>
      <c r="F15" s="14">
        <f t="shared" si="2"/>
        <v>0.20696121719724664</v>
      </c>
      <c r="G15" s="13">
        <f>G4-G5</f>
        <v>510417.68965517241</v>
      </c>
      <c r="H15" s="14">
        <f t="shared" si="3"/>
        <v>0.5219298974021721</v>
      </c>
      <c r="I15" s="13">
        <f>I4-I5</f>
        <v>10132.689655172406</v>
      </c>
      <c r="J15" s="14">
        <f t="shared" si="4"/>
        <v>3.4397072629412745E-2</v>
      </c>
      <c r="K15" s="13">
        <f>K4-K5</f>
        <v>30118</v>
      </c>
      <c r="L15" s="14">
        <f t="shared" si="5"/>
        <v>0.2125386363315597</v>
      </c>
      <c r="M15" s="13">
        <f>M4-M5</f>
        <v>117375</v>
      </c>
      <c r="N15" s="14">
        <f t="shared" si="6"/>
        <v>0.30198285998029234</v>
      </c>
      <c r="O15" s="13">
        <f>O4-O5</f>
        <v>54500</v>
      </c>
      <c r="P15" s="14">
        <f t="shared" si="7"/>
        <v>1</v>
      </c>
    </row>
    <row r="16" spans="1:16" ht="15.75" x14ac:dyDescent="0.25">
      <c r="A16" s="256" t="s">
        <v>6</v>
      </c>
      <c r="B16" s="5" t="s">
        <v>4</v>
      </c>
      <c r="C16" s="6">
        <f>SUM(C17:C21)</f>
        <v>154305.56896551725</v>
      </c>
      <c r="D16" s="7">
        <f t="shared" si="1"/>
        <v>5.5882181928694027E-2</v>
      </c>
      <c r="E16" s="6">
        <f>C16*F3</f>
        <v>50509.445429341664</v>
      </c>
      <c r="F16" s="8">
        <f>E16/E3</f>
        <v>5.5882181928694021E-2</v>
      </c>
      <c r="G16" s="6">
        <f>$C16*H3</f>
        <v>54649.588641892828</v>
      </c>
      <c r="H16" s="8">
        <f t="shared" si="3"/>
        <v>5.5882181928694034E-2</v>
      </c>
      <c r="I16" s="6">
        <f>$C16*J3</f>
        <v>16461.773152554688</v>
      </c>
      <c r="J16" s="8">
        <f t="shared" si="4"/>
        <v>5.5882181928694034E-2</v>
      </c>
      <c r="K16" s="6">
        <f>$C16*L3</f>
        <v>7918.8404723875165</v>
      </c>
      <c r="L16" s="8">
        <f t="shared" si="5"/>
        <v>5.5882181928694034E-2</v>
      </c>
      <c r="M16" s="6">
        <f>$C16*N3</f>
        <v>21720.342354226723</v>
      </c>
      <c r="N16" s="8">
        <f t="shared" si="6"/>
        <v>5.5882181928694027E-2</v>
      </c>
      <c r="O16" s="6">
        <f>$C16*P3</f>
        <v>3045.5789151138242</v>
      </c>
      <c r="P16" s="8">
        <f t="shared" si="7"/>
        <v>5.5882181928694021E-2</v>
      </c>
    </row>
    <row r="17" spans="1:16" ht="15.75" x14ac:dyDescent="0.25">
      <c r="A17" s="257" t="s">
        <v>28</v>
      </c>
      <c r="B17" s="2" t="s">
        <v>3</v>
      </c>
      <c r="C17" s="27">
        <f>E17+G17+I17+K17+M17+O17</f>
        <v>0</v>
      </c>
      <c r="D17" s="26">
        <f t="shared" si="1"/>
        <v>0</v>
      </c>
      <c r="E17" s="27"/>
      <c r="F17" s="26">
        <f t="shared" si="2"/>
        <v>0</v>
      </c>
      <c r="G17" s="27"/>
      <c r="H17" s="26">
        <f t="shared" si="3"/>
        <v>0</v>
      </c>
      <c r="I17" s="27"/>
      <c r="J17" s="26">
        <f t="shared" si="4"/>
        <v>0</v>
      </c>
      <c r="K17" s="27"/>
      <c r="L17" s="26">
        <f t="shared" si="5"/>
        <v>0</v>
      </c>
      <c r="M17" s="27"/>
      <c r="N17" s="26">
        <f t="shared" si="6"/>
        <v>0</v>
      </c>
      <c r="O17" s="27"/>
      <c r="P17" s="26">
        <f t="shared" si="7"/>
        <v>0</v>
      </c>
    </row>
    <row r="18" spans="1:16" ht="15.75" x14ac:dyDescent="0.25">
      <c r="A18" s="257" t="s">
        <v>38</v>
      </c>
      <c r="B18" s="2"/>
      <c r="C18" s="264">
        <v>25000</v>
      </c>
      <c r="D18" s="26">
        <f>C18/$C$4</f>
        <v>9.0538180675096142E-3</v>
      </c>
      <c r="E18" s="27"/>
      <c r="F18" s="26">
        <f t="shared" si="2"/>
        <v>0</v>
      </c>
      <c r="G18" s="27"/>
      <c r="H18" s="26">
        <f t="shared" si="3"/>
        <v>0</v>
      </c>
      <c r="I18" s="27"/>
      <c r="J18" s="26">
        <f t="shared" si="4"/>
        <v>0</v>
      </c>
      <c r="K18" s="27"/>
      <c r="L18" s="26">
        <f t="shared" si="5"/>
        <v>0</v>
      </c>
      <c r="M18" s="27"/>
      <c r="N18" s="26">
        <f t="shared" si="6"/>
        <v>0</v>
      </c>
      <c r="O18" s="27"/>
      <c r="P18" s="26">
        <f t="shared" si="7"/>
        <v>0</v>
      </c>
    </row>
    <row r="19" spans="1:16" ht="15.75" x14ac:dyDescent="0.25">
      <c r="A19" s="257" t="s">
        <v>36</v>
      </c>
      <c r="B19" s="1"/>
      <c r="C19" s="37">
        <f>C28</f>
        <v>116043.5</v>
      </c>
      <c r="D19" s="26">
        <f>C19/$C$4</f>
        <v>4.2025469476682072E-2</v>
      </c>
      <c r="E19" s="27"/>
      <c r="F19" s="26">
        <f t="shared" si="2"/>
        <v>0</v>
      </c>
      <c r="G19" s="27"/>
      <c r="H19" s="26">
        <f t="shared" si="3"/>
        <v>0</v>
      </c>
      <c r="I19" s="27"/>
      <c r="J19" s="26">
        <f t="shared" si="4"/>
        <v>0</v>
      </c>
      <c r="K19" s="27"/>
      <c r="L19" s="26">
        <f t="shared" si="5"/>
        <v>0</v>
      </c>
      <c r="M19" s="27"/>
      <c r="N19" s="26">
        <f t="shared" si="6"/>
        <v>0</v>
      </c>
      <c r="O19" s="27"/>
      <c r="P19" s="26">
        <f t="shared" si="7"/>
        <v>0</v>
      </c>
    </row>
    <row r="20" spans="1:16" ht="15.75" x14ac:dyDescent="0.25">
      <c r="A20" s="257" t="s">
        <v>22</v>
      </c>
      <c r="B20" s="1" t="s">
        <v>3</v>
      </c>
      <c r="C20" s="37">
        <f>(15384)/1.16</f>
        <v>13262.068965517243</v>
      </c>
      <c r="D20" s="26">
        <f>C20/$C$4</f>
        <v>4.8028943845023417E-3</v>
      </c>
      <c r="E20" s="27"/>
      <c r="F20" s="26">
        <f t="shared" si="2"/>
        <v>0</v>
      </c>
      <c r="G20" s="27"/>
      <c r="H20" s="26">
        <f t="shared" si="3"/>
        <v>0</v>
      </c>
      <c r="I20" s="27"/>
      <c r="J20" s="26">
        <f t="shared" si="4"/>
        <v>0</v>
      </c>
      <c r="K20" s="27"/>
      <c r="L20" s="26">
        <f t="shared" si="5"/>
        <v>0</v>
      </c>
      <c r="M20" s="27"/>
      <c r="N20" s="26">
        <f t="shared" si="6"/>
        <v>0</v>
      </c>
      <c r="O20" s="27"/>
      <c r="P20" s="26">
        <f t="shared" si="7"/>
        <v>0</v>
      </c>
    </row>
    <row r="21" spans="1:16" ht="15.75" x14ac:dyDescent="0.25">
      <c r="A21" s="257" t="s">
        <v>12</v>
      </c>
      <c r="B21" s="2" t="s">
        <v>3</v>
      </c>
      <c r="C21" s="27"/>
      <c r="D21" s="26">
        <f>C21/$C$4</f>
        <v>0</v>
      </c>
      <c r="E21" s="27"/>
      <c r="F21" s="26">
        <f t="shared" si="2"/>
        <v>0</v>
      </c>
      <c r="G21" s="27"/>
      <c r="H21" s="26">
        <f t="shared" si="3"/>
        <v>0</v>
      </c>
      <c r="I21" s="27"/>
      <c r="J21" s="26">
        <f t="shared" si="4"/>
        <v>0</v>
      </c>
      <c r="K21" s="27"/>
      <c r="L21" s="26">
        <f t="shared" si="5"/>
        <v>0</v>
      </c>
      <c r="M21" s="27"/>
      <c r="N21" s="26">
        <f t="shared" si="6"/>
        <v>0</v>
      </c>
      <c r="O21" s="27"/>
      <c r="P21" s="26">
        <f t="shared" si="7"/>
        <v>0</v>
      </c>
    </row>
    <row r="22" spans="1:16" ht="15.75" x14ac:dyDescent="0.25">
      <c r="A22" s="258" t="s">
        <v>35</v>
      </c>
      <c r="B22" s="32" t="s">
        <v>4</v>
      </c>
      <c r="C22" s="33">
        <f>SUM(C23:C30)+3492</f>
        <v>499671.39655172412</v>
      </c>
      <c r="D22" s="34">
        <f t="shared" ref="D22:D27" si="8">C22/$C$4</f>
        <v>0.18095735671671043</v>
      </c>
      <c r="E22" s="33">
        <f>$C22*F3</f>
        <v>163559.392612539</v>
      </c>
      <c r="F22" s="35">
        <f>E22/E$4</f>
        <v>0.1809573567167104</v>
      </c>
      <c r="G22" s="33">
        <f>$C22*H3</f>
        <v>176965.98029960995</v>
      </c>
      <c r="H22" s="35">
        <f t="shared" si="3"/>
        <v>0.18095735671671043</v>
      </c>
      <c r="I22" s="33">
        <f>$C22*J3</f>
        <v>53306.418141608556</v>
      </c>
      <c r="J22" s="35">
        <f t="shared" si="4"/>
        <v>0.18095735671671043</v>
      </c>
      <c r="K22" s="33">
        <f>$C22*L3</f>
        <v>25642.743190898167</v>
      </c>
      <c r="L22" s="35">
        <f t="shared" si="5"/>
        <v>0.18095735671671043</v>
      </c>
      <c r="M22" s="33">
        <f>$C22*N3</f>
        <v>70334.686366007722</v>
      </c>
      <c r="N22" s="35">
        <f t="shared" si="6"/>
        <v>0.18095735671671043</v>
      </c>
      <c r="O22" s="33">
        <f>$C22*P3</f>
        <v>9862.1759410607174</v>
      </c>
      <c r="P22" s="35">
        <f t="shared" si="7"/>
        <v>0.1809573567167104</v>
      </c>
    </row>
    <row r="23" spans="1:16" ht="15.75" x14ac:dyDescent="0.25">
      <c r="A23" s="38" t="s">
        <v>18</v>
      </c>
      <c r="B23" s="3" t="s">
        <v>3</v>
      </c>
      <c r="C23" s="25">
        <f>(2718+91900+150+5209+2718+22500)/1.16</f>
        <v>107926.72413793104</v>
      </c>
      <c r="D23" s="24">
        <f t="shared" si="8"/>
        <v>3.9085956998685042E-2</v>
      </c>
      <c r="E23" s="25"/>
      <c r="F23" s="24">
        <f t="shared" si="2"/>
        <v>0</v>
      </c>
      <c r="G23" s="25"/>
      <c r="H23" s="24">
        <f t="shared" si="3"/>
        <v>0</v>
      </c>
      <c r="I23" s="25"/>
      <c r="J23" s="24">
        <f t="shared" si="4"/>
        <v>0</v>
      </c>
      <c r="K23" s="25"/>
      <c r="L23" s="24">
        <f t="shared" si="5"/>
        <v>0</v>
      </c>
      <c r="M23" s="25"/>
      <c r="N23" s="24">
        <f t="shared" si="6"/>
        <v>0</v>
      </c>
      <c r="O23" s="25"/>
      <c r="P23" s="24">
        <f t="shared" si="7"/>
        <v>0</v>
      </c>
    </row>
    <row r="24" spans="1:16" ht="15.75" x14ac:dyDescent="0.25">
      <c r="A24" s="38" t="s">
        <v>32</v>
      </c>
      <c r="B24" s="3" t="s">
        <v>3</v>
      </c>
      <c r="C24" s="25">
        <f>(8460+101+501+1424+1076+721+3480)/1.16</f>
        <v>13588.793103448277</v>
      </c>
      <c r="D24" s="24">
        <f t="shared" si="8"/>
        <v>4.9212184206260017E-3</v>
      </c>
      <c r="E24" s="25"/>
      <c r="F24" s="24">
        <f t="shared" si="2"/>
        <v>0</v>
      </c>
      <c r="G24" s="25"/>
      <c r="H24" s="24">
        <f t="shared" si="3"/>
        <v>0</v>
      </c>
      <c r="I24" s="25"/>
      <c r="J24" s="24">
        <f t="shared" si="4"/>
        <v>0</v>
      </c>
      <c r="K24" s="25"/>
      <c r="L24" s="24">
        <f t="shared" si="5"/>
        <v>0</v>
      </c>
      <c r="M24" s="25"/>
      <c r="N24" s="24">
        <f t="shared" si="6"/>
        <v>0</v>
      </c>
      <c r="O24" s="25"/>
      <c r="P24" s="24">
        <f t="shared" si="7"/>
        <v>0</v>
      </c>
    </row>
    <row r="25" spans="1:16" ht="15.75" x14ac:dyDescent="0.25">
      <c r="A25" s="38" t="s">
        <v>13</v>
      </c>
      <c r="B25" s="3" t="s">
        <v>3</v>
      </c>
      <c r="C25" s="25">
        <f>(9086+250+23446+1912)/1.16</f>
        <v>29908.620689655174</v>
      </c>
      <c r="D25" s="24">
        <f t="shared" si="8"/>
        <v>1.0831488414971674E-2</v>
      </c>
      <c r="E25" s="25"/>
      <c r="F25" s="24">
        <f t="shared" si="2"/>
        <v>0</v>
      </c>
      <c r="G25" s="25"/>
      <c r="H25" s="24">
        <f t="shared" si="3"/>
        <v>0</v>
      </c>
      <c r="I25" s="25"/>
      <c r="J25" s="24">
        <f t="shared" si="4"/>
        <v>0</v>
      </c>
      <c r="K25" s="25"/>
      <c r="L25" s="24">
        <f t="shared" si="5"/>
        <v>0</v>
      </c>
      <c r="M25" s="25"/>
      <c r="N25" s="24">
        <f t="shared" si="6"/>
        <v>0</v>
      </c>
      <c r="O25" s="25"/>
      <c r="P25" s="24">
        <f t="shared" si="7"/>
        <v>0</v>
      </c>
    </row>
    <row r="26" spans="1:16" ht="15.75" x14ac:dyDescent="0.25">
      <c r="A26" s="38" t="s">
        <v>15</v>
      </c>
      <c r="B26" s="3" t="s">
        <v>3</v>
      </c>
      <c r="C26" s="25">
        <f>917062-3876-3290-224530-C7</f>
        <v>184425</v>
      </c>
      <c r="D26" s="24">
        <f t="shared" si="8"/>
        <v>6.6790015884018422E-2</v>
      </c>
      <c r="E26" s="25"/>
      <c r="F26" s="24">
        <f t="shared" si="2"/>
        <v>0</v>
      </c>
      <c r="G26" s="25"/>
      <c r="H26" s="24">
        <f t="shared" si="3"/>
        <v>0</v>
      </c>
      <c r="I26" s="25"/>
      <c r="J26" s="24">
        <f t="shared" si="4"/>
        <v>0</v>
      </c>
      <c r="K26" s="25"/>
      <c r="L26" s="24">
        <f t="shared" si="5"/>
        <v>0</v>
      </c>
      <c r="M26" s="25"/>
      <c r="N26" s="24">
        <f t="shared" si="6"/>
        <v>0</v>
      </c>
      <c r="O26" s="25"/>
      <c r="P26" s="24">
        <f t="shared" si="7"/>
        <v>0</v>
      </c>
    </row>
    <row r="27" spans="1:16" ht="15.75" x14ac:dyDescent="0.25">
      <c r="A27" s="38" t="s">
        <v>14</v>
      </c>
      <c r="B27" s="3" t="s">
        <v>3</v>
      </c>
      <c r="C27" s="25">
        <v>18204</v>
      </c>
      <c r="D27" s="24">
        <f t="shared" si="8"/>
        <v>6.5926281640378004E-3</v>
      </c>
      <c r="E27" s="25"/>
      <c r="F27" s="24">
        <f t="shared" si="2"/>
        <v>0</v>
      </c>
      <c r="G27" s="25"/>
      <c r="H27" s="24">
        <f t="shared" si="3"/>
        <v>0</v>
      </c>
      <c r="I27" s="25"/>
      <c r="J27" s="24">
        <f t="shared" si="4"/>
        <v>0</v>
      </c>
      <c r="K27" s="25"/>
      <c r="L27" s="24">
        <f t="shared" si="5"/>
        <v>0</v>
      </c>
      <c r="M27" s="25"/>
      <c r="N27" s="24">
        <f t="shared" si="6"/>
        <v>0</v>
      </c>
      <c r="O27" s="25"/>
      <c r="P27" s="24">
        <f t="shared" si="7"/>
        <v>0</v>
      </c>
    </row>
    <row r="28" spans="1:16" ht="15.75" x14ac:dyDescent="0.25">
      <c r="A28" s="38" t="s">
        <v>29</v>
      </c>
      <c r="B28" s="3" t="s">
        <v>3</v>
      </c>
      <c r="C28" s="25">
        <f>(224530+4267+3290)/2</f>
        <v>116043.5</v>
      </c>
      <c r="D28" s="24">
        <f>C28/$C$4</f>
        <v>4.2025469476682072E-2</v>
      </c>
      <c r="E28" s="25"/>
      <c r="F28" s="24">
        <f t="shared" si="2"/>
        <v>0</v>
      </c>
      <c r="G28" s="25"/>
      <c r="H28" s="24">
        <f t="shared" si="3"/>
        <v>0</v>
      </c>
      <c r="I28" s="25"/>
      <c r="J28" s="24">
        <f t="shared" si="4"/>
        <v>0</v>
      </c>
      <c r="K28" s="25"/>
      <c r="L28" s="24">
        <f t="shared" si="5"/>
        <v>0</v>
      </c>
      <c r="M28" s="25"/>
      <c r="N28" s="24">
        <f t="shared" si="6"/>
        <v>0</v>
      </c>
      <c r="O28" s="25"/>
      <c r="P28" s="24">
        <f t="shared" si="7"/>
        <v>0</v>
      </c>
    </row>
    <row r="29" spans="1:16" ht="15.75" x14ac:dyDescent="0.25">
      <c r="A29" s="38" t="s">
        <v>19</v>
      </c>
      <c r="B29" s="3" t="s">
        <v>3</v>
      </c>
      <c r="C29" s="25">
        <f>(1000+4461+21150)/1.16</f>
        <v>22940.517241379312</v>
      </c>
      <c r="D29" s="24">
        <f>C29/$C$4</f>
        <v>8.3079707791206322E-3</v>
      </c>
      <c r="E29" s="25"/>
      <c r="F29" s="24">
        <f t="shared" si="2"/>
        <v>0</v>
      </c>
      <c r="G29" s="25"/>
      <c r="H29" s="24">
        <f t="shared" si="3"/>
        <v>0</v>
      </c>
      <c r="I29" s="25"/>
      <c r="J29" s="24">
        <f t="shared" si="4"/>
        <v>0</v>
      </c>
      <c r="K29" s="25"/>
      <c r="L29" s="24">
        <f t="shared" si="5"/>
        <v>0</v>
      </c>
      <c r="M29" s="25"/>
      <c r="N29" s="24">
        <f t="shared" si="6"/>
        <v>0</v>
      </c>
      <c r="O29" s="25"/>
      <c r="P29" s="24">
        <f t="shared" si="7"/>
        <v>0</v>
      </c>
    </row>
    <row r="30" spans="1:16" ht="15.75" x14ac:dyDescent="0.25">
      <c r="A30" s="38" t="s">
        <v>12</v>
      </c>
      <c r="B30" s="3" t="s">
        <v>3</v>
      </c>
      <c r="C30" s="25">
        <f>(3351+55+653-71-300-43)/1.16</f>
        <v>3142.2413793103451</v>
      </c>
      <c r="D30" s="24">
        <f>C30/$C$4</f>
        <v>1.1379712708990532E-3</v>
      </c>
      <c r="E30" s="25"/>
      <c r="F30" s="24">
        <f t="shared" si="2"/>
        <v>0</v>
      </c>
      <c r="G30" s="25"/>
      <c r="H30" s="24">
        <f t="shared" si="3"/>
        <v>0</v>
      </c>
      <c r="I30" s="25"/>
      <c r="J30" s="24">
        <f t="shared" si="4"/>
        <v>0</v>
      </c>
      <c r="K30" s="25"/>
      <c r="L30" s="24">
        <f t="shared" si="5"/>
        <v>0</v>
      </c>
      <c r="M30" s="25"/>
      <c r="N30" s="24">
        <f t="shared" si="6"/>
        <v>0</v>
      </c>
      <c r="O30" s="25"/>
      <c r="P30" s="24">
        <f t="shared" si="7"/>
        <v>0</v>
      </c>
    </row>
    <row r="31" spans="1:16" ht="15.75" x14ac:dyDescent="0.25">
      <c r="A31" s="16" t="s">
        <v>16</v>
      </c>
      <c r="B31" s="12" t="s">
        <v>4</v>
      </c>
      <c r="C31" s="13">
        <f>C15-C16-C22</f>
        <v>172554.89655172423</v>
      </c>
      <c r="D31" s="15">
        <f>C31/$C$4</f>
        <v>6.2491225601490126E-2</v>
      </c>
      <c r="E31" s="13">
        <f>E15-E16-E22</f>
        <v>-27005.700110846112</v>
      </c>
      <c r="F31" s="14">
        <f t="shared" si="2"/>
        <v>-2.9878321448157795E-2</v>
      </c>
      <c r="G31" s="13">
        <f>G15-G16-G22</f>
        <v>278802.12071366963</v>
      </c>
      <c r="H31" s="14">
        <f t="shared" si="3"/>
        <v>0.28509035875676764</v>
      </c>
      <c r="I31" s="13">
        <f>I15-I16-I22</f>
        <v>-59635.501638990841</v>
      </c>
      <c r="J31" s="14">
        <f t="shared" si="4"/>
        <v>-0.20244246601599172</v>
      </c>
      <c r="K31" s="13">
        <f>K15-K16-K22</f>
        <v>-3443.5836632856845</v>
      </c>
      <c r="L31" s="14">
        <f t="shared" si="5"/>
        <v>-2.4300902313844751E-2</v>
      </c>
      <c r="M31" s="13">
        <f>M15-M16-M22</f>
        <v>25319.971279765552</v>
      </c>
      <c r="N31" s="14">
        <f t="shared" si="6"/>
        <v>6.5143321334887871E-2</v>
      </c>
      <c r="O31" s="13">
        <f>O15-O16-O22</f>
        <v>41592.245143825457</v>
      </c>
      <c r="P31" s="14">
        <f t="shared" si="7"/>
        <v>0.76316046135459559</v>
      </c>
    </row>
    <row r="32" spans="1:16" ht="15.75" x14ac:dyDescent="0.25">
      <c r="A32" s="17" t="s">
        <v>7</v>
      </c>
      <c r="B32" s="18" t="s">
        <v>3</v>
      </c>
      <c r="C32" s="19">
        <f>D32*C4</f>
        <v>276126.60000000003</v>
      </c>
      <c r="D32" s="36">
        <v>0.1</v>
      </c>
      <c r="E32" s="19">
        <f>E4*F32</f>
        <v>90385.600000000006</v>
      </c>
      <c r="F32" s="36">
        <v>0.1</v>
      </c>
      <c r="G32" s="19">
        <f>G4*H32</f>
        <v>97794.3</v>
      </c>
      <c r="H32" s="36">
        <v>0.1</v>
      </c>
      <c r="I32" s="19">
        <f>I4*J32</f>
        <v>29458</v>
      </c>
      <c r="J32" s="36">
        <v>0.1</v>
      </c>
      <c r="K32" s="19">
        <f>K4*L32</f>
        <v>14170.6</v>
      </c>
      <c r="L32" s="36">
        <v>0.1</v>
      </c>
      <c r="M32" s="19">
        <f>M4*N32</f>
        <v>38868.1</v>
      </c>
      <c r="N32" s="36">
        <v>0.1</v>
      </c>
      <c r="O32" s="19">
        <f>O4*P32</f>
        <v>5450</v>
      </c>
      <c r="P32" s="36">
        <v>0.1</v>
      </c>
    </row>
    <row r="33" spans="1:16" ht="15.75" x14ac:dyDescent="0.25">
      <c r="A33" s="17" t="s">
        <v>8</v>
      </c>
      <c r="B33" s="18" t="s">
        <v>4</v>
      </c>
      <c r="C33" s="19">
        <f>C31-C32</f>
        <v>-103571.7034482758</v>
      </c>
      <c r="D33" s="15">
        <f>C33/$C$4</f>
        <v>-3.7508774398509886E-2</v>
      </c>
      <c r="E33" s="19">
        <f>E31-E32</f>
        <v>-117391.30011084612</v>
      </c>
      <c r="F33" s="20">
        <f>E33/E$4</f>
        <v>-0.12987832144815781</v>
      </c>
      <c r="G33" s="19">
        <f>G31-G32</f>
        <v>181007.82071366964</v>
      </c>
      <c r="H33" s="15">
        <f>G33/G$4</f>
        <v>0.18509035875676766</v>
      </c>
      <c r="I33" s="19">
        <f>I31-I32</f>
        <v>-89093.501638990841</v>
      </c>
      <c r="J33" s="20">
        <f>I33/I$4</f>
        <v>-0.30244246601599173</v>
      </c>
      <c r="K33" s="19">
        <f>K31-K32</f>
        <v>-17614.183663285687</v>
      </c>
      <c r="L33" s="15">
        <f>K33/K$4</f>
        <v>-0.12430090231384477</v>
      </c>
      <c r="M33" s="19">
        <f>M31-M32</f>
        <v>-13548.128720234447</v>
      </c>
      <c r="N33" s="15">
        <f>M33/M$4</f>
        <v>-3.4856678665112127E-2</v>
      </c>
      <c r="O33" s="19">
        <f>O31-O32</f>
        <v>36142.245143825457</v>
      </c>
      <c r="P33" s="15">
        <f>O33/O$4</f>
        <v>0.6631604613545955</v>
      </c>
    </row>
    <row r="34" spans="1:16" ht="15.75" x14ac:dyDescent="0.25">
      <c r="A34" s="28" t="s">
        <v>9</v>
      </c>
      <c r="B34" s="29" t="s">
        <v>4</v>
      </c>
      <c r="C34" s="30">
        <f>(C16+C22)/D15</f>
        <v>2184797.0326826372</v>
      </c>
      <c r="D34" s="31">
        <f>C34/$C$4</f>
        <v>0.79123019393373806</v>
      </c>
      <c r="E34" s="30">
        <f>(E16+E22)/F15</f>
        <v>1034342.7669245878</v>
      </c>
      <c r="F34" s="31">
        <f>E34/$C$4</f>
        <v>0.37459004924718869</v>
      </c>
      <c r="G34" s="30">
        <f>(G16+G22)/H15</f>
        <v>443767.58276223415</v>
      </c>
      <c r="H34" s="31">
        <f>G34/$C$4</f>
        <v>0.16071163834351132</v>
      </c>
      <c r="I34" s="30">
        <f>(I16+I22)/J15</f>
        <v>2028317.701504193</v>
      </c>
      <c r="J34" s="31">
        <f>I34/$C$4</f>
        <v>0.7345607781011293</v>
      </c>
      <c r="K34" s="30">
        <f>(K16+K22)/L15</f>
        <v>157908.15374824227</v>
      </c>
      <c r="L34" s="31">
        <f>K34/$C$4</f>
        <v>5.718686781651687E-2</v>
      </c>
      <c r="M34" s="30">
        <f>(M16+M22)/N15</f>
        <v>304835.27683075139</v>
      </c>
      <c r="N34" s="31">
        <f>M34/$C$4</f>
        <v>0.11039692547938207</v>
      </c>
      <c r="O34" s="30">
        <f>(O16+O22)/P15</f>
        <v>12907.754856174543</v>
      </c>
      <c r="P34" s="31">
        <f>O34/$C$4</f>
        <v>4.6745785651127209E-3</v>
      </c>
    </row>
    <row r="35" spans="1:16" ht="16.5" thickBot="1" x14ac:dyDescent="0.3">
      <c r="A35" s="259" t="s">
        <v>10</v>
      </c>
      <c r="B35" s="260" t="s">
        <v>4</v>
      </c>
      <c r="C35" s="261">
        <f>C4-C34</f>
        <v>576468.96731736278</v>
      </c>
      <c r="D35" s="262">
        <f>C35/$C$4</f>
        <v>0.20876980606626191</v>
      </c>
      <c r="E35" s="261">
        <f>E4-E34</f>
        <v>-130486.76692458778</v>
      </c>
      <c r="F35" s="262">
        <f>E35/$C$4</f>
        <v>-4.7256137918109946E-2</v>
      </c>
      <c r="G35" s="261">
        <f>G4-G34</f>
        <v>534175.41723776585</v>
      </c>
      <c r="H35" s="262">
        <f>G35/$C$4</f>
        <v>0.19345308175227083</v>
      </c>
      <c r="I35" s="261">
        <f>I4-I34</f>
        <v>-1733737.701504193</v>
      </c>
      <c r="J35" s="262">
        <f>I35/$C$4</f>
        <v>-0.62787782904805012</v>
      </c>
      <c r="K35" s="261">
        <f>K4-K34</f>
        <v>-16202.153748242272</v>
      </c>
      <c r="L35" s="262">
        <f>K35/$C$4</f>
        <v>-5.8676540935361796E-3</v>
      </c>
      <c r="M35" s="261">
        <f>M4-M34</f>
        <v>83845.723169248609</v>
      </c>
      <c r="N35" s="262">
        <f>M35/$C$4</f>
        <v>3.03649569325261E-2</v>
      </c>
      <c r="O35" s="261">
        <f>O4-O34</f>
        <v>41592.245143825457</v>
      </c>
      <c r="P35" s="262">
        <f>O35/$C$4</f>
        <v>1.5062744822058237E-2</v>
      </c>
    </row>
  </sheetData>
  <mergeCells count="8">
    <mergeCell ref="O2:P2"/>
    <mergeCell ref="A1:P1"/>
    <mergeCell ref="C2:D2"/>
    <mergeCell ref="E2:F2"/>
    <mergeCell ref="G2:H2"/>
    <mergeCell ref="I2:J2"/>
    <mergeCell ref="K2:L2"/>
    <mergeCell ref="M2:N2"/>
  </mergeCells>
  <pageMargins left="0.25" right="0.25" top="0.75" bottom="0.75" header="0.3" footer="0.3"/>
  <pageSetup scale="80" orientation="landscape" r:id="rId1"/>
  <ignoredErrors>
    <ignoredError sqref="J5:O5 I6:I7 F11:G11 I11 G12 D15 F15:I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rightToLeft="1" workbookViewId="0">
      <pane xSplit="1" ySplit="5" topLeftCell="B13" activePane="bottomRight" state="frozen"/>
      <selection pane="topRight" activeCell="B1" sqref="B1"/>
      <selection pane="bottomLeft" activeCell="A6" sqref="A6"/>
      <selection pane="bottomRight" activeCell="A2" sqref="A2:P2"/>
    </sheetView>
  </sheetViews>
  <sheetFormatPr defaultRowHeight="15" x14ac:dyDescent="0.25"/>
  <cols>
    <col min="1" max="1" width="21.28515625" customWidth="1"/>
    <col min="2" max="2" width="3" customWidth="1"/>
    <col min="3" max="3" width="15.140625" customWidth="1"/>
    <col min="4" max="4" width="9.28515625" customWidth="1"/>
    <col min="5" max="5" width="11.28515625" customWidth="1"/>
    <col min="6" max="6" width="9.85546875" customWidth="1"/>
    <col min="7" max="7" width="11.42578125" customWidth="1"/>
    <col min="8" max="8" width="8" customWidth="1"/>
    <col min="9" max="9" width="15" customWidth="1"/>
    <col min="10" max="10" width="8.5703125" customWidth="1"/>
    <col min="11" max="11" width="11.42578125" customWidth="1"/>
    <col min="12" max="12" width="9.42578125" customWidth="1"/>
    <col min="13" max="13" width="11.7109375" customWidth="1"/>
    <col min="14" max="14" width="10.28515625" customWidth="1"/>
    <col min="15" max="15" width="12.28515625" customWidth="1"/>
    <col min="16" max="16" width="9.42578125" customWidth="1"/>
  </cols>
  <sheetData>
    <row r="1" spans="1:16" ht="36" x14ac:dyDescent="0.55000000000000004">
      <c r="A1" s="75"/>
      <c r="B1" s="75"/>
      <c r="C1" s="75"/>
      <c r="D1" s="75"/>
      <c r="E1" s="75"/>
      <c r="F1" s="75" t="s">
        <v>121</v>
      </c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161" customFormat="1" ht="36" x14ac:dyDescent="0.55000000000000004">
      <c r="A2" s="225" t="s">
        <v>115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6" ht="15.75" x14ac:dyDescent="0.25">
      <c r="A3" s="76" t="s">
        <v>1</v>
      </c>
      <c r="B3" s="77" t="s">
        <v>0</v>
      </c>
      <c r="C3" s="226" t="s">
        <v>40</v>
      </c>
      <c r="D3" s="227"/>
      <c r="E3" s="228" t="s">
        <v>24</v>
      </c>
      <c r="F3" s="229"/>
      <c r="G3" s="228" t="s">
        <v>25</v>
      </c>
      <c r="H3" s="229"/>
      <c r="I3" s="230" t="s">
        <v>116</v>
      </c>
      <c r="J3" s="229"/>
      <c r="K3" s="228" t="s">
        <v>26</v>
      </c>
      <c r="L3" s="229"/>
      <c r="M3" s="228" t="s">
        <v>27</v>
      </c>
      <c r="N3" s="229"/>
      <c r="O3" s="231" t="s">
        <v>12</v>
      </c>
      <c r="P3" s="232"/>
    </row>
    <row r="4" spans="1:16" ht="15.75" x14ac:dyDescent="0.25">
      <c r="A4" s="78" t="s">
        <v>20</v>
      </c>
      <c r="B4" s="79"/>
      <c r="C4" s="80"/>
      <c r="D4" s="81">
        <v>1</v>
      </c>
      <c r="E4" s="80"/>
      <c r="F4" s="157">
        <v>0.32733391132907874</v>
      </c>
      <c r="G4" s="80"/>
      <c r="H4" s="158">
        <v>0.35416472009578215</v>
      </c>
      <c r="I4" s="80"/>
      <c r="J4" s="81">
        <v>0.10668294905307928</v>
      </c>
      <c r="K4" s="80"/>
      <c r="L4" s="81">
        <v>5.1319213722980692E-2</v>
      </c>
      <c r="M4" s="80"/>
      <c r="N4" s="159">
        <v>0.14076188241190815</v>
      </c>
      <c r="O4" s="80"/>
      <c r="P4" s="82">
        <v>1.9737323387170956E-2</v>
      </c>
    </row>
    <row r="5" spans="1:16" ht="15.75" x14ac:dyDescent="0.25">
      <c r="A5" s="83" t="s">
        <v>39</v>
      </c>
      <c r="B5" s="79" t="s">
        <v>2</v>
      </c>
      <c r="C5" s="80">
        <f>E5+G5+I5+K5+M5+O5</f>
        <v>2131030</v>
      </c>
      <c r="D5" s="158">
        <f>C5/C5</f>
        <v>1</v>
      </c>
      <c r="E5" s="80">
        <v>799823</v>
      </c>
      <c r="F5" s="81">
        <f>E5/E5</f>
        <v>1</v>
      </c>
      <c r="G5" s="80">
        <v>730798</v>
      </c>
      <c r="H5" s="81">
        <f>G5/G5</f>
        <v>1</v>
      </c>
      <c r="I5" s="84">
        <v>165622</v>
      </c>
      <c r="J5" s="81">
        <f>I5/I5</f>
        <v>1</v>
      </c>
      <c r="K5" s="84">
        <v>62683</v>
      </c>
      <c r="L5" s="81">
        <f>K5/K5</f>
        <v>1</v>
      </c>
      <c r="M5" s="80">
        <v>364020</v>
      </c>
      <c r="N5" s="81">
        <f>M5/M5</f>
        <v>1</v>
      </c>
      <c r="O5" s="84">
        <v>8084</v>
      </c>
      <c r="P5" s="82">
        <f>O5/O5</f>
        <v>1</v>
      </c>
    </row>
    <row r="6" spans="1:16" ht="15.75" x14ac:dyDescent="0.25">
      <c r="A6" s="85" t="s">
        <v>11</v>
      </c>
      <c r="B6" s="86" t="s">
        <v>4</v>
      </c>
      <c r="C6" s="87">
        <f>SUM(C7:C14)</f>
        <v>1411145</v>
      </c>
      <c r="D6" s="88">
        <f t="shared" ref="D6:D15" si="0">C6/$C$5</f>
        <v>0.66218917612609862</v>
      </c>
      <c r="E6" s="87">
        <f>SUM(E7:E14)</f>
        <v>468454</v>
      </c>
      <c r="F6" s="88">
        <f t="shared" ref="F6:F15" si="1">E6/E$5</f>
        <v>0.58569708548016253</v>
      </c>
      <c r="G6" s="87">
        <f>SUM(G7:G14)</f>
        <v>457995</v>
      </c>
      <c r="H6" s="88">
        <f t="shared" ref="H6:H11" si="2">G6/G$5</f>
        <v>0.62670532760078712</v>
      </c>
      <c r="I6" s="87">
        <f>SUM(I7:I14)</f>
        <v>157921</v>
      </c>
      <c r="J6" s="88">
        <f t="shared" ref="J6:J11" si="3">I6/I$5</f>
        <v>0.95350255400852546</v>
      </c>
      <c r="K6" s="87">
        <f>SUM(K7:K14)</f>
        <v>77004</v>
      </c>
      <c r="L6" s="88">
        <f t="shared" ref="L6:L11" si="4">K6/K$5</f>
        <v>1.2284670484820446</v>
      </c>
      <c r="M6" s="87">
        <f>SUM(M7:M14)</f>
        <v>213756</v>
      </c>
      <c r="N6" s="88">
        <f t="shared" ref="N6:N11" si="5">M6/M$5</f>
        <v>0.58720949398384703</v>
      </c>
      <c r="O6" s="87">
        <f>SUM(O7:O14)</f>
        <v>16415</v>
      </c>
      <c r="P6" s="89">
        <f t="shared" ref="P6:P11" si="6">O6/O$5</f>
        <v>2.030554181098466</v>
      </c>
    </row>
    <row r="7" spans="1:16" ht="15.75" x14ac:dyDescent="0.25">
      <c r="A7" s="90" t="s">
        <v>110</v>
      </c>
      <c r="B7" s="90" t="s">
        <v>3</v>
      </c>
      <c r="C7" s="91">
        <f>E7+G7+I7+K7+M7+O7</f>
        <v>829148</v>
      </c>
      <c r="D7" s="92">
        <f t="shared" si="0"/>
        <v>0.38908321328184026</v>
      </c>
      <c r="E7" s="91">
        <v>287241</v>
      </c>
      <c r="F7" s="92">
        <f t="shared" si="1"/>
        <v>0.35913070766907179</v>
      </c>
      <c r="G7" s="91">
        <v>263959</v>
      </c>
      <c r="H7" s="92">
        <f t="shared" si="2"/>
        <v>0.36119283304004662</v>
      </c>
      <c r="I7" s="91">
        <v>47777</v>
      </c>
      <c r="J7" s="92">
        <f t="shared" si="3"/>
        <v>0.28847013077972733</v>
      </c>
      <c r="K7" s="91"/>
      <c r="L7" s="92">
        <f t="shared" si="4"/>
        <v>0</v>
      </c>
      <c r="M7" s="91">
        <v>213756</v>
      </c>
      <c r="N7" s="92">
        <f t="shared" si="5"/>
        <v>0.58720949398384703</v>
      </c>
      <c r="O7" s="91">
        <v>16415</v>
      </c>
      <c r="P7" s="93">
        <f t="shared" si="6"/>
        <v>2.030554181098466</v>
      </c>
    </row>
    <row r="8" spans="1:16" ht="15.75" x14ac:dyDescent="0.25">
      <c r="A8" s="90" t="s">
        <v>109</v>
      </c>
      <c r="B8" s="90" t="s">
        <v>3</v>
      </c>
      <c r="C8" s="91">
        <f>E8+G8+I8+K8+M8+O8</f>
        <v>390309</v>
      </c>
      <c r="D8" s="92">
        <f t="shared" si="0"/>
        <v>0.18315509401556992</v>
      </c>
      <c r="E8" s="91">
        <v>102169</v>
      </c>
      <c r="F8" s="92">
        <f t="shared" si="1"/>
        <v>0.12773951236711123</v>
      </c>
      <c r="G8" s="91">
        <v>117792</v>
      </c>
      <c r="H8" s="92">
        <f t="shared" si="2"/>
        <v>0.16118270712289853</v>
      </c>
      <c r="I8" s="91">
        <v>101744</v>
      </c>
      <c r="J8" s="92">
        <f t="shared" si="3"/>
        <v>0.61431452343287729</v>
      </c>
      <c r="K8" s="91">
        <v>68604</v>
      </c>
      <c r="L8" s="92">
        <f t="shared" si="4"/>
        <v>1.0944594228100122</v>
      </c>
      <c r="M8" s="91"/>
      <c r="N8" s="92">
        <f t="shared" si="5"/>
        <v>0</v>
      </c>
      <c r="O8" s="91"/>
      <c r="P8" s="93">
        <f t="shared" si="6"/>
        <v>0</v>
      </c>
    </row>
    <row r="9" spans="1:16" ht="15.75" x14ac:dyDescent="0.25">
      <c r="A9" s="90" t="s">
        <v>30</v>
      </c>
      <c r="B9" s="90" t="s">
        <v>3</v>
      </c>
      <c r="C9" s="91"/>
      <c r="D9" s="92">
        <f t="shared" si="0"/>
        <v>0</v>
      </c>
      <c r="E9" s="91"/>
      <c r="F9" s="92">
        <f t="shared" si="1"/>
        <v>0</v>
      </c>
      <c r="G9" s="91"/>
      <c r="H9" s="92">
        <f t="shared" si="2"/>
        <v>0</v>
      </c>
      <c r="I9" s="91"/>
      <c r="J9" s="92">
        <f t="shared" si="3"/>
        <v>0</v>
      </c>
      <c r="K9" s="91"/>
      <c r="L9" s="92">
        <f t="shared" si="4"/>
        <v>0</v>
      </c>
      <c r="M9" s="91"/>
      <c r="N9" s="92">
        <f t="shared" si="5"/>
        <v>0</v>
      </c>
      <c r="O9" s="91"/>
      <c r="P9" s="93">
        <f t="shared" si="6"/>
        <v>0</v>
      </c>
    </row>
    <row r="10" spans="1:16" ht="15.75" x14ac:dyDescent="0.25">
      <c r="A10" s="90" t="s">
        <v>38</v>
      </c>
      <c r="B10" s="90"/>
      <c r="C10" s="91"/>
      <c r="D10" s="92">
        <f t="shared" si="0"/>
        <v>0</v>
      </c>
      <c r="E10" s="91"/>
      <c r="F10" s="92">
        <f t="shared" si="1"/>
        <v>0</v>
      </c>
      <c r="G10" s="91"/>
      <c r="H10" s="92">
        <f t="shared" si="2"/>
        <v>0</v>
      </c>
      <c r="I10" s="91"/>
      <c r="J10" s="92">
        <f t="shared" si="3"/>
        <v>0</v>
      </c>
      <c r="K10" s="91"/>
      <c r="L10" s="92">
        <f t="shared" si="4"/>
        <v>0</v>
      </c>
      <c r="M10" s="91"/>
      <c r="N10" s="92">
        <f t="shared" si="5"/>
        <v>0</v>
      </c>
      <c r="O10" s="91"/>
      <c r="P10" s="93">
        <f t="shared" si="6"/>
        <v>0</v>
      </c>
    </row>
    <row r="11" spans="1:16" ht="15.75" x14ac:dyDescent="0.25">
      <c r="A11" s="90" t="s">
        <v>76</v>
      </c>
      <c r="B11" s="90"/>
      <c r="C11" s="91">
        <v>35745</v>
      </c>
      <c r="D11" s="92">
        <f t="shared" si="0"/>
        <v>1.6773578973548003E-2</v>
      </c>
      <c r="E11" s="91">
        <f>C11*50%</f>
        <v>17872.5</v>
      </c>
      <c r="F11" s="92">
        <f t="shared" si="1"/>
        <v>2.2345568957131766E-2</v>
      </c>
      <c r="G11" s="91">
        <f>C11*50%</f>
        <v>17872.5</v>
      </c>
      <c r="H11" s="92">
        <f t="shared" si="2"/>
        <v>2.4456142463444071E-2</v>
      </c>
      <c r="I11" s="91"/>
      <c r="J11" s="92">
        <f t="shared" si="3"/>
        <v>0</v>
      </c>
      <c r="K11" s="91"/>
      <c r="L11" s="92">
        <f t="shared" si="4"/>
        <v>0</v>
      </c>
      <c r="M11" s="91"/>
      <c r="N11" s="92">
        <f t="shared" si="5"/>
        <v>0</v>
      </c>
      <c r="O11" s="91"/>
      <c r="P11" s="93">
        <f t="shared" si="6"/>
        <v>0</v>
      </c>
    </row>
    <row r="12" spans="1:16" ht="15.75" x14ac:dyDescent="0.25">
      <c r="A12" s="90" t="s">
        <v>106</v>
      </c>
      <c r="B12" s="90" t="s">
        <v>3</v>
      </c>
      <c r="C12" s="91">
        <v>15943</v>
      </c>
      <c r="D12" s="92">
        <f t="shared" si="0"/>
        <v>7.4813587795573028E-3</v>
      </c>
      <c r="E12" s="91">
        <f>C12*50%</f>
        <v>7971.5</v>
      </c>
      <c r="F12" s="92">
        <f t="shared" si="1"/>
        <v>9.9665801058484195E-3</v>
      </c>
      <c r="G12" s="91">
        <f>C12*50%</f>
        <v>7971.5</v>
      </c>
      <c r="H12" s="92">
        <f t="shared" ref="H12:H17" si="7">G12/G$5</f>
        <v>1.0907938992717549E-2</v>
      </c>
      <c r="I12" s="91"/>
      <c r="J12" s="92">
        <f t="shared" ref="J12:J17" si="8">I12/I$5</f>
        <v>0</v>
      </c>
      <c r="K12" s="91"/>
      <c r="L12" s="92">
        <f t="shared" ref="L12:L17" si="9">K12/K$5</f>
        <v>0</v>
      </c>
      <c r="M12" s="91"/>
      <c r="N12" s="92">
        <f t="shared" ref="N12:N17" si="10">M12/M$5</f>
        <v>0</v>
      </c>
      <c r="O12" s="91"/>
      <c r="P12" s="93">
        <f t="shared" ref="P12:P17" si="11">O12/O$5</f>
        <v>0</v>
      </c>
    </row>
    <row r="13" spans="1:16" ht="15.75" x14ac:dyDescent="0.25">
      <c r="A13" s="90" t="s">
        <v>21</v>
      </c>
      <c r="B13" s="90" t="s">
        <v>3</v>
      </c>
      <c r="C13" s="91">
        <v>140000</v>
      </c>
      <c r="D13" s="92">
        <f t="shared" si="0"/>
        <v>6.5695931075583164E-2</v>
      </c>
      <c r="E13" s="91">
        <f>C13*38%</f>
        <v>53200</v>
      </c>
      <c r="F13" s="92">
        <f t="shared" si="1"/>
        <v>6.6514716380999289E-2</v>
      </c>
      <c r="G13" s="91">
        <f>C13*36%</f>
        <v>50400</v>
      </c>
      <c r="H13" s="92">
        <f t="shared" si="7"/>
        <v>6.8965705981680295E-2</v>
      </c>
      <c r="I13" s="91">
        <f>C13*6%</f>
        <v>8400</v>
      </c>
      <c r="J13" s="92">
        <f t="shared" si="8"/>
        <v>5.0717899795920833E-2</v>
      </c>
      <c r="K13" s="91">
        <f>C13*6%</f>
        <v>8400</v>
      </c>
      <c r="L13" s="92">
        <f t="shared" si="9"/>
        <v>0.13400762567203228</v>
      </c>
      <c r="M13" s="91"/>
      <c r="N13" s="92">
        <f t="shared" si="10"/>
        <v>0</v>
      </c>
      <c r="O13" s="91"/>
      <c r="P13" s="93">
        <f t="shared" si="11"/>
        <v>0</v>
      </c>
    </row>
    <row r="14" spans="1:16" ht="15.75" x14ac:dyDescent="0.25">
      <c r="A14" s="90" t="s">
        <v>12</v>
      </c>
      <c r="B14" s="90" t="s">
        <v>3</v>
      </c>
      <c r="C14" s="91"/>
      <c r="D14" s="92">
        <f t="shared" si="0"/>
        <v>0</v>
      </c>
      <c r="E14" s="91"/>
      <c r="F14" s="92">
        <f t="shared" si="1"/>
        <v>0</v>
      </c>
      <c r="G14" s="91"/>
      <c r="H14" s="92">
        <f t="shared" si="7"/>
        <v>0</v>
      </c>
      <c r="I14" s="91"/>
      <c r="J14" s="92">
        <f t="shared" si="8"/>
        <v>0</v>
      </c>
      <c r="K14" s="91"/>
      <c r="L14" s="92">
        <f t="shared" si="9"/>
        <v>0</v>
      </c>
      <c r="M14" s="91"/>
      <c r="N14" s="92">
        <f t="shared" si="10"/>
        <v>0</v>
      </c>
      <c r="O14" s="91"/>
      <c r="P14" s="93">
        <f t="shared" si="11"/>
        <v>0</v>
      </c>
    </row>
    <row r="15" spans="1:16" ht="18" x14ac:dyDescent="0.25">
      <c r="A15" s="94" t="s">
        <v>5</v>
      </c>
      <c r="B15" s="95" t="s">
        <v>4</v>
      </c>
      <c r="C15" s="96">
        <f>C5-C6</f>
        <v>719885</v>
      </c>
      <c r="D15" s="97">
        <f t="shared" si="0"/>
        <v>0.33781082387390138</v>
      </c>
      <c r="E15" s="96">
        <f>E5-E6</f>
        <v>331369</v>
      </c>
      <c r="F15" s="98">
        <f t="shared" si="1"/>
        <v>0.41430291451983753</v>
      </c>
      <c r="G15" s="96">
        <f>G5-G6</f>
        <v>272803</v>
      </c>
      <c r="H15" s="98">
        <f t="shared" si="7"/>
        <v>0.37329467239921293</v>
      </c>
      <c r="I15" s="96">
        <f>I5-I6</f>
        <v>7701</v>
      </c>
      <c r="J15" s="98">
        <f t="shared" si="8"/>
        <v>4.6497445991474561E-2</v>
      </c>
      <c r="K15" s="96">
        <f>K5-K6</f>
        <v>-14321</v>
      </c>
      <c r="L15" s="98">
        <f t="shared" si="9"/>
        <v>-0.22846704848204458</v>
      </c>
      <c r="M15" s="96">
        <f>M5-M6</f>
        <v>150264</v>
      </c>
      <c r="N15" s="98">
        <f t="shared" si="10"/>
        <v>0.41279050601615297</v>
      </c>
      <c r="O15" s="96">
        <f>O5-O6</f>
        <v>-8331</v>
      </c>
      <c r="P15" s="99">
        <f t="shared" si="11"/>
        <v>-1.0305541810984662</v>
      </c>
    </row>
    <row r="16" spans="1:16" ht="15.75" x14ac:dyDescent="0.25">
      <c r="A16" s="153" t="s">
        <v>35</v>
      </c>
      <c r="B16" s="154" t="s">
        <v>4</v>
      </c>
      <c r="C16" s="155">
        <f>C17+C23+C36</f>
        <v>577956</v>
      </c>
      <c r="D16" s="156">
        <f>D4</f>
        <v>1</v>
      </c>
      <c r="E16" s="155">
        <f>F16*$C16</f>
        <v>189184.59805610904</v>
      </c>
      <c r="F16" s="156">
        <f>F4</f>
        <v>0.32733391132907874</v>
      </c>
      <c r="G16" s="155">
        <f>H16*$C16</f>
        <v>204691.62496767787</v>
      </c>
      <c r="H16" s="156">
        <f>H4</f>
        <v>0.35416472009578215</v>
      </c>
      <c r="I16" s="155">
        <f>J16*$C16</f>
        <v>61658.050502921484</v>
      </c>
      <c r="J16" s="156">
        <f>J4</f>
        <v>0.10668294905307928</v>
      </c>
      <c r="K16" s="155">
        <f>L16*$C16</f>
        <v>29660.247486479027</v>
      </c>
      <c r="L16" s="156">
        <f>L4</f>
        <v>5.1319213722980692E-2</v>
      </c>
      <c r="M16" s="155">
        <f>N16*$C16</f>
        <v>81354.174511256788</v>
      </c>
      <c r="N16" s="156">
        <f>N4</f>
        <v>0.14076188241190815</v>
      </c>
      <c r="O16" s="155">
        <f>P16*$C16</f>
        <v>11407.304475555777</v>
      </c>
      <c r="P16" s="156">
        <f>P4</f>
        <v>1.9737323387170956E-2</v>
      </c>
    </row>
    <row r="17" spans="1:16" ht="15.75" x14ac:dyDescent="0.25">
      <c r="A17" s="100" t="s">
        <v>6</v>
      </c>
      <c r="B17" s="101" t="s">
        <v>4</v>
      </c>
      <c r="C17" s="102">
        <f>SUM(C18:C22)</f>
        <v>183988</v>
      </c>
      <c r="D17" s="103">
        <f>C17/$C$5</f>
        <v>8.6337592619531403E-2</v>
      </c>
      <c r="E17" s="160">
        <f>$C17*F4</f>
        <v>60225.511677614537</v>
      </c>
      <c r="F17" s="104">
        <f>E17/E5</f>
        <v>7.5298549401073153E-2</v>
      </c>
      <c r="G17" s="102">
        <f>$C17*H4</f>
        <v>65162.05852098277</v>
      </c>
      <c r="H17" s="104">
        <f t="shared" si="7"/>
        <v>8.9165622403157604E-2</v>
      </c>
      <c r="I17" s="102">
        <f>$C17*J4</f>
        <v>19628.382430377951</v>
      </c>
      <c r="J17" s="104">
        <f t="shared" si="8"/>
        <v>0.11851313491189547</v>
      </c>
      <c r="K17" s="102">
        <f>$C17*L4</f>
        <v>9442.1194944637718</v>
      </c>
      <c r="L17" s="104">
        <f t="shared" si="9"/>
        <v>0.15063285890055952</v>
      </c>
      <c r="M17" s="102">
        <f>$C17*N4</f>
        <v>25898.497221202157</v>
      </c>
      <c r="N17" s="104">
        <f t="shared" si="10"/>
        <v>7.1145808530306456E-2</v>
      </c>
      <c r="O17" s="102">
        <f>$C17*P4</f>
        <v>3631.4306553588099</v>
      </c>
      <c r="P17" s="105">
        <f t="shared" si="11"/>
        <v>0.44921210481924911</v>
      </c>
    </row>
    <row r="18" spans="1:16" ht="15.75" x14ac:dyDescent="0.25">
      <c r="A18" s="106" t="s">
        <v>78</v>
      </c>
      <c r="B18" s="107" t="s">
        <v>3</v>
      </c>
      <c r="C18" s="108">
        <v>100783</v>
      </c>
      <c r="D18" s="109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10"/>
    </row>
    <row r="19" spans="1:16" ht="15.75" x14ac:dyDescent="0.25">
      <c r="A19" s="111" t="s">
        <v>38</v>
      </c>
      <c r="B19" s="107"/>
      <c r="C19" s="108"/>
      <c r="D19" s="109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10"/>
    </row>
    <row r="20" spans="1:16" ht="15.75" x14ac:dyDescent="0.25">
      <c r="A20" s="111" t="s">
        <v>111</v>
      </c>
      <c r="B20" s="111"/>
      <c r="C20" s="112">
        <v>45578</v>
      </c>
      <c r="D20" s="109"/>
      <c r="E20" s="108"/>
      <c r="F20" s="109"/>
      <c r="G20" s="108"/>
      <c r="H20" s="109"/>
      <c r="I20" s="108"/>
      <c r="J20" s="109"/>
      <c r="K20" s="108"/>
      <c r="L20" s="109"/>
      <c r="M20" s="108"/>
      <c r="N20" s="109"/>
      <c r="O20" s="108"/>
      <c r="P20" s="110"/>
    </row>
    <row r="21" spans="1:16" ht="15.75" x14ac:dyDescent="0.25">
      <c r="A21" s="111" t="s">
        <v>22</v>
      </c>
      <c r="B21" s="111" t="s">
        <v>3</v>
      </c>
      <c r="C21" s="112">
        <v>37627</v>
      </c>
      <c r="D21" s="109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10"/>
    </row>
    <row r="22" spans="1:16" ht="15.75" x14ac:dyDescent="0.25">
      <c r="A22" s="106" t="s">
        <v>12</v>
      </c>
      <c r="B22" s="107" t="s">
        <v>3</v>
      </c>
      <c r="C22" s="108"/>
      <c r="D22" s="109"/>
      <c r="E22" s="108"/>
      <c r="F22" s="109"/>
      <c r="G22" s="108"/>
      <c r="H22" s="109"/>
      <c r="I22" s="108"/>
      <c r="J22" s="109"/>
      <c r="K22" s="108"/>
      <c r="L22" s="109"/>
      <c r="M22" s="108"/>
      <c r="N22" s="109"/>
      <c r="O22" s="108"/>
      <c r="P22" s="110"/>
    </row>
    <row r="23" spans="1:16" ht="15.75" x14ac:dyDescent="0.25">
      <c r="A23" s="141" t="s">
        <v>89</v>
      </c>
      <c r="B23" s="113"/>
      <c r="C23" s="114">
        <f>SUM(C24:C35)</f>
        <v>218543</v>
      </c>
      <c r="D23" s="115"/>
      <c r="E23" s="114"/>
      <c r="F23" s="116"/>
      <c r="G23" s="114"/>
      <c r="H23" s="116"/>
      <c r="I23" s="114"/>
      <c r="J23" s="116"/>
      <c r="K23" s="114"/>
      <c r="L23" s="116"/>
      <c r="M23" s="114"/>
      <c r="N23" s="116"/>
      <c r="O23" s="114"/>
      <c r="P23" s="142"/>
    </row>
    <row r="24" spans="1:16" ht="15.75" x14ac:dyDescent="0.25">
      <c r="A24" s="117" t="s">
        <v>80</v>
      </c>
      <c r="B24" s="118" t="s">
        <v>3</v>
      </c>
      <c r="C24" s="119">
        <v>15502</v>
      </c>
      <c r="D24" s="120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1"/>
    </row>
    <row r="25" spans="1:16" ht="15.75" x14ac:dyDescent="0.25">
      <c r="A25" s="117" t="s">
        <v>106</v>
      </c>
      <c r="B25" s="118"/>
      <c r="C25" s="119">
        <v>15944</v>
      </c>
      <c r="D25" s="120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1"/>
    </row>
    <row r="26" spans="1:16" ht="15.75" x14ac:dyDescent="0.25">
      <c r="A26" s="117" t="s">
        <v>32</v>
      </c>
      <c r="B26" s="118" t="s">
        <v>3</v>
      </c>
      <c r="C26" s="119">
        <v>13292</v>
      </c>
      <c r="D26" s="120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1"/>
    </row>
    <row r="27" spans="1:16" ht="15.75" x14ac:dyDescent="0.25">
      <c r="A27" s="117" t="s">
        <v>112</v>
      </c>
      <c r="B27" s="118"/>
      <c r="C27" s="119">
        <v>3972</v>
      </c>
      <c r="D27" s="120"/>
      <c r="E27" s="119"/>
      <c r="F27" s="120"/>
      <c r="G27" s="119"/>
      <c r="H27" s="120"/>
      <c r="I27" s="119"/>
      <c r="J27" s="120"/>
      <c r="K27" s="119"/>
      <c r="L27" s="120"/>
      <c r="M27" s="119"/>
      <c r="N27" s="120"/>
      <c r="O27" s="119"/>
      <c r="P27" s="121"/>
    </row>
    <row r="28" spans="1:16" ht="15.75" x14ac:dyDescent="0.25">
      <c r="A28" s="117" t="s">
        <v>82</v>
      </c>
      <c r="B28" s="118"/>
      <c r="C28" s="119">
        <v>8091</v>
      </c>
      <c r="D28" s="120"/>
      <c r="E28" s="119"/>
      <c r="F28" s="120"/>
      <c r="G28" s="119"/>
      <c r="H28" s="120"/>
      <c r="I28" s="119"/>
      <c r="J28" s="120"/>
      <c r="K28" s="119"/>
      <c r="L28" s="120"/>
      <c r="M28" s="119"/>
      <c r="N28" s="120"/>
      <c r="O28" s="119"/>
      <c r="P28" s="121"/>
    </row>
    <row r="29" spans="1:16" ht="15.75" x14ac:dyDescent="0.25">
      <c r="A29" s="117" t="s">
        <v>83</v>
      </c>
      <c r="B29" s="118"/>
      <c r="C29" s="119">
        <v>74000</v>
      </c>
      <c r="D29" s="120"/>
      <c r="E29" s="119"/>
      <c r="F29" s="120"/>
      <c r="G29" s="119"/>
      <c r="H29" s="120"/>
      <c r="I29" s="119"/>
      <c r="J29" s="120"/>
      <c r="K29" s="119"/>
      <c r="L29" s="120"/>
      <c r="M29" s="119"/>
      <c r="N29" s="120"/>
      <c r="O29" s="119"/>
      <c r="P29" s="121"/>
    </row>
    <row r="30" spans="1:16" ht="15.75" x14ac:dyDescent="0.25">
      <c r="A30" s="117" t="s">
        <v>84</v>
      </c>
      <c r="B30" s="118"/>
      <c r="C30" s="119">
        <v>13603</v>
      </c>
      <c r="D30" s="120"/>
      <c r="E30" s="119"/>
      <c r="F30" s="120"/>
      <c r="G30" s="119"/>
      <c r="H30" s="120"/>
      <c r="I30" s="119"/>
      <c r="J30" s="120"/>
      <c r="K30" s="119"/>
      <c r="L30" s="120"/>
      <c r="M30" s="119"/>
      <c r="N30" s="120"/>
      <c r="O30" s="119"/>
      <c r="P30" s="121"/>
    </row>
    <row r="31" spans="1:16" ht="15.75" x14ac:dyDescent="0.25">
      <c r="A31" s="117" t="s">
        <v>14</v>
      </c>
      <c r="B31" s="118" t="s">
        <v>3</v>
      </c>
      <c r="C31" s="119">
        <v>18763</v>
      </c>
      <c r="D31" s="120"/>
      <c r="E31" s="119"/>
      <c r="F31" s="120"/>
      <c r="G31" s="119"/>
      <c r="H31" s="120"/>
      <c r="I31" s="119"/>
      <c r="J31" s="120"/>
      <c r="K31" s="119"/>
      <c r="L31" s="120"/>
      <c r="M31" s="119"/>
      <c r="N31" s="120"/>
      <c r="O31" s="119"/>
      <c r="P31" s="121"/>
    </row>
    <row r="32" spans="1:16" ht="15.75" x14ac:dyDescent="0.25">
      <c r="A32" s="117" t="s">
        <v>113</v>
      </c>
      <c r="B32" s="118"/>
      <c r="C32" s="119">
        <v>26367</v>
      </c>
      <c r="D32" s="120"/>
      <c r="E32" s="119"/>
      <c r="F32" s="120"/>
      <c r="G32" s="119"/>
      <c r="H32" s="120"/>
      <c r="I32" s="119"/>
      <c r="J32" s="120"/>
      <c r="K32" s="119"/>
      <c r="L32" s="120"/>
      <c r="M32" s="119"/>
      <c r="N32" s="120"/>
      <c r="O32" s="119"/>
      <c r="P32" s="121"/>
    </row>
    <row r="33" spans="1:16" ht="15.75" x14ac:dyDescent="0.25">
      <c r="A33" s="117" t="s">
        <v>114</v>
      </c>
      <c r="B33" s="118" t="s">
        <v>3</v>
      </c>
      <c r="C33" s="119">
        <v>7500</v>
      </c>
      <c r="D33" s="120"/>
      <c r="E33" s="119"/>
      <c r="F33" s="120"/>
      <c r="G33" s="119"/>
      <c r="H33" s="120"/>
      <c r="I33" s="119"/>
      <c r="J33" s="120"/>
      <c r="K33" s="119"/>
      <c r="L33" s="120"/>
      <c r="M33" s="119"/>
      <c r="N33" s="120"/>
      <c r="O33" s="119"/>
      <c r="P33" s="121"/>
    </row>
    <row r="34" spans="1:16" ht="15.75" x14ac:dyDescent="0.25">
      <c r="A34" s="117" t="s">
        <v>108</v>
      </c>
      <c r="B34" s="118"/>
      <c r="C34" s="119">
        <v>15559</v>
      </c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1"/>
    </row>
    <row r="35" spans="1:16" ht="15.75" x14ac:dyDescent="0.25">
      <c r="A35" s="117" t="s">
        <v>107</v>
      </c>
      <c r="B35" s="118" t="s">
        <v>3</v>
      </c>
      <c r="C35" s="119">
        <v>5950</v>
      </c>
      <c r="D35" s="120"/>
      <c r="E35" s="119"/>
      <c r="F35" s="120"/>
      <c r="G35" s="119"/>
      <c r="H35" s="120"/>
      <c r="I35" s="119"/>
      <c r="J35" s="120"/>
      <c r="K35" s="119"/>
      <c r="L35" s="120"/>
      <c r="M35" s="119"/>
      <c r="N35" s="120"/>
      <c r="O35" s="119"/>
      <c r="P35" s="121"/>
    </row>
    <row r="36" spans="1:16" ht="15.75" x14ac:dyDescent="0.25">
      <c r="A36" s="148" t="s">
        <v>86</v>
      </c>
      <c r="B36" s="149"/>
      <c r="C36" s="150">
        <f>SUM(C37:C39)</f>
        <v>175425</v>
      </c>
      <c r="D36" s="151"/>
      <c r="E36" s="150"/>
      <c r="F36" s="151"/>
      <c r="G36" s="150"/>
      <c r="H36" s="151"/>
      <c r="I36" s="150"/>
      <c r="J36" s="151"/>
      <c r="K36" s="150"/>
      <c r="L36" s="151"/>
      <c r="M36" s="150"/>
      <c r="N36" s="151"/>
      <c r="O36" s="150"/>
      <c r="P36" s="152"/>
    </row>
    <row r="37" spans="1:16" ht="15.75" x14ac:dyDescent="0.25">
      <c r="A37" s="147" t="s">
        <v>87</v>
      </c>
      <c r="B37" s="143"/>
      <c r="C37" s="144">
        <v>106349</v>
      </c>
      <c r="D37" s="145"/>
      <c r="E37" s="144"/>
      <c r="F37" s="145"/>
      <c r="G37" s="144"/>
      <c r="H37" s="145"/>
      <c r="I37" s="144"/>
      <c r="J37" s="145"/>
      <c r="K37" s="144"/>
      <c r="L37" s="145"/>
      <c r="M37" s="144"/>
      <c r="N37" s="145"/>
      <c r="O37" s="144"/>
      <c r="P37" s="146"/>
    </row>
    <row r="38" spans="1:16" ht="15.75" x14ac:dyDescent="0.25">
      <c r="A38" s="147" t="s">
        <v>88</v>
      </c>
      <c r="B38" s="143" t="s">
        <v>3</v>
      </c>
      <c r="C38" s="144">
        <v>69076</v>
      </c>
      <c r="D38" s="145"/>
      <c r="E38" s="144"/>
      <c r="F38" s="145"/>
      <c r="G38" s="144"/>
      <c r="H38" s="145"/>
      <c r="I38" s="144"/>
      <c r="J38" s="145"/>
      <c r="K38" s="144"/>
      <c r="L38" s="145"/>
      <c r="M38" s="144"/>
      <c r="N38" s="145"/>
      <c r="O38" s="144"/>
      <c r="P38" s="146"/>
    </row>
    <row r="39" spans="1:16" ht="15.75" x14ac:dyDescent="0.25">
      <c r="A39" s="147" t="s">
        <v>12</v>
      </c>
      <c r="B39" s="143" t="s">
        <v>3</v>
      </c>
      <c r="C39" s="144"/>
      <c r="D39" s="145"/>
      <c r="E39" s="144"/>
      <c r="F39" s="145"/>
      <c r="G39" s="144"/>
      <c r="H39" s="145"/>
      <c r="I39" s="144"/>
      <c r="J39" s="145"/>
      <c r="K39" s="144"/>
      <c r="L39" s="145"/>
      <c r="M39" s="144"/>
      <c r="N39" s="145"/>
      <c r="O39" s="144"/>
      <c r="P39" s="146"/>
    </row>
    <row r="40" spans="1:16" ht="18" x14ac:dyDescent="0.25">
      <c r="A40" s="122" t="s">
        <v>16</v>
      </c>
      <c r="B40" s="95" t="s">
        <v>4</v>
      </c>
      <c r="C40" s="96">
        <f>C15-C16</f>
        <v>141929</v>
      </c>
      <c r="D40" s="97">
        <f>C40/$C$5</f>
        <v>6.6601127154474596E-2</v>
      </c>
      <c r="E40" s="96">
        <f>E15-E16</f>
        <v>142184.40194389096</v>
      </c>
      <c r="F40" s="98">
        <f>E40/E$5</f>
        <v>0.17776983400563745</v>
      </c>
      <c r="G40" s="96">
        <f>G15-G16</f>
        <v>68111.375032322132</v>
      </c>
      <c r="H40" s="98">
        <f>G40/G$5</f>
        <v>9.3201370327124777E-2</v>
      </c>
      <c r="I40" s="96">
        <f>I15-I16</f>
        <v>-53957.050502921484</v>
      </c>
      <c r="J40" s="98">
        <f>I40/I$5</f>
        <v>-0.32578431912983469</v>
      </c>
      <c r="K40" s="96">
        <f>K15-K16</f>
        <v>-43981.247486479027</v>
      </c>
      <c r="L40" s="98">
        <f>K40/K$5</f>
        <v>-0.70164554163774906</v>
      </c>
      <c r="M40" s="96">
        <f>M15-M16</f>
        <v>68909.825488743212</v>
      </c>
      <c r="N40" s="98">
        <f>M40/M$5</f>
        <v>0.18930230616104393</v>
      </c>
      <c r="O40" s="96">
        <f>O15-O16</f>
        <v>-19738.304475555778</v>
      </c>
      <c r="P40" s="99">
        <f>O40/O$5</f>
        <v>-2.4416507268129366</v>
      </c>
    </row>
    <row r="41" spans="1:16" ht="15.75" x14ac:dyDescent="0.25">
      <c r="A41" s="123" t="s">
        <v>7</v>
      </c>
      <c r="B41" s="124" t="s">
        <v>3</v>
      </c>
      <c r="C41" s="125">
        <f>D41*C5</f>
        <v>213103</v>
      </c>
      <c r="D41" s="126">
        <v>0.1</v>
      </c>
      <c r="E41" s="125">
        <f>E5*F41</f>
        <v>79982.3</v>
      </c>
      <c r="F41" s="126">
        <v>0.1</v>
      </c>
      <c r="G41" s="125">
        <f>G5*H41</f>
        <v>73079.8</v>
      </c>
      <c r="H41" s="126">
        <v>0.1</v>
      </c>
      <c r="I41" s="125">
        <f>I5*J41</f>
        <v>16562.2</v>
      </c>
      <c r="J41" s="126">
        <v>0.1</v>
      </c>
      <c r="K41" s="125">
        <f>K5*L41</f>
        <v>6268.3</v>
      </c>
      <c r="L41" s="126">
        <v>0.1</v>
      </c>
      <c r="M41" s="125">
        <f>M5*N41</f>
        <v>36402</v>
      </c>
      <c r="N41" s="126">
        <v>0.1</v>
      </c>
      <c r="O41" s="125">
        <f>O5*P41</f>
        <v>808.40000000000009</v>
      </c>
      <c r="P41" s="127">
        <v>0.1</v>
      </c>
    </row>
    <row r="42" spans="1:16" ht="15.75" x14ac:dyDescent="0.25">
      <c r="A42" s="123" t="s">
        <v>8</v>
      </c>
      <c r="B42" s="124" t="s">
        <v>4</v>
      </c>
      <c r="C42" s="125">
        <f>C40-C41</f>
        <v>-71174</v>
      </c>
      <c r="D42" s="128">
        <f>C42/$C$5</f>
        <v>-3.3398872845525403E-2</v>
      </c>
      <c r="E42" s="125">
        <f>E40-E41</f>
        <v>62202.101943890957</v>
      </c>
      <c r="F42" s="129">
        <f>E42/E$5</f>
        <v>7.7769834005637445E-2</v>
      </c>
      <c r="G42" s="125">
        <f>G40-G41</f>
        <v>-4968.4249676778709</v>
      </c>
      <c r="H42" s="128">
        <f>G42/G$5</f>
        <v>-6.7986296728752282E-3</v>
      </c>
      <c r="I42" s="125">
        <f>I40-I41</f>
        <v>-70519.250502921481</v>
      </c>
      <c r="J42" s="129">
        <f>I42/I$5</f>
        <v>-0.42578431912983467</v>
      </c>
      <c r="K42" s="125">
        <f>K40-K41</f>
        <v>-50249.54748647903</v>
      </c>
      <c r="L42" s="128">
        <f>K42/K$5</f>
        <v>-0.80164554163774915</v>
      </c>
      <c r="M42" s="125">
        <f>M40-M41</f>
        <v>32507.825488743212</v>
      </c>
      <c r="N42" s="128">
        <f>M42/M$5</f>
        <v>8.9302306161043926E-2</v>
      </c>
      <c r="O42" s="125">
        <f>O40-O41</f>
        <v>-20546.70447555578</v>
      </c>
      <c r="P42" s="130">
        <f>O42/O$5</f>
        <v>-2.5416507268129367</v>
      </c>
    </row>
    <row r="43" spans="1:16" ht="15.75" x14ac:dyDescent="0.25">
      <c r="A43" s="131" t="s">
        <v>9</v>
      </c>
      <c r="B43" s="132" t="s">
        <v>4</v>
      </c>
      <c r="C43" s="133">
        <f>C16/D15</f>
        <v>1710886.5647707619</v>
      </c>
      <c r="D43" s="134">
        <f>C43/$C$5</f>
        <v>0.8028448988380088</v>
      </c>
      <c r="E43" s="133">
        <f>E16/F15</f>
        <v>456633.51964435808</v>
      </c>
      <c r="F43" s="134">
        <f>E43/$C$5</f>
        <v>0.21427831595254787</v>
      </c>
      <c r="G43" s="133">
        <f>G16/H15</f>
        <v>548337.92202845658</v>
      </c>
      <c r="H43" s="134">
        <f>G43/$C$5</f>
        <v>0.25731121665507128</v>
      </c>
      <c r="I43" s="133">
        <f>I16/J15</f>
        <v>1326052.4140234855</v>
      </c>
      <c r="J43" s="134">
        <f>I43/$C$5</f>
        <v>0.6222589142449827</v>
      </c>
      <c r="K43" s="133">
        <f>K16/L15</f>
        <v>-129822.86803958975</v>
      </c>
      <c r="L43" s="134">
        <f>K43/$C$5</f>
        <v>-6.0920244219738698E-2</v>
      </c>
      <c r="M43" s="133">
        <f>M16/N15</f>
        <v>197083.44384275473</v>
      </c>
      <c r="N43" s="134">
        <f>M43/$C$5</f>
        <v>9.248271673451558E-2</v>
      </c>
      <c r="O43" s="133">
        <f>O16/P15</f>
        <v>-11069.097272883555</v>
      </c>
      <c r="P43" s="135">
        <f>O43/$C$5</f>
        <v>-5.1942475107734547E-3</v>
      </c>
    </row>
    <row r="44" spans="1:16" ht="15.75" x14ac:dyDescent="0.25">
      <c r="A44" s="136" t="s">
        <v>10</v>
      </c>
      <c r="B44" s="137" t="s">
        <v>4</v>
      </c>
      <c r="C44" s="138">
        <f>C5-C43</f>
        <v>420143.43522923812</v>
      </c>
      <c r="D44" s="139">
        <f>C44/$C$5</f>
        <v>0.1971551011619912</v>
      </c>
      <c r="E44" s="138">
        <f>E5-E43</f>
        <v>343189.48035564192</v>
      </c>
      <c r="F44" s="139">
        <f>E44/$C$5</f>
        <v>0.1610439460522104</v>
      </c>
      <c r="G44" s="138">
        <f>G5-G43</f>
        <v>182460.07797154342</v>
      </c>
      <c r="H44" s="139">
        <f>G44/$C$5</f>
        <v>8.5620605046171763E-2</v>
      </c>
      <c r="I44" s="138">
        <f>I5-I43</f>
        <v>-1160430.4140234855</v>
      </c>
      <c r="J44" s="139">
        <f>I44/$C$5</f>
        <v>-0.54453968926926677</v>
      </c>
      <c r="K44" s="138">
        <f>K5-K43</f>
        <v>192505.86803958975</v>
      </c>
      <c r="L44" s="139">
        <f>K44/$C$5</f>
        <v>9.0334658845529978E-2</v>
      </c>
      <c r="M44" s="138">
        <f>M5-M43</f>
        <v>166936.55615724527</v>
      </c>
      <c r="N44" s="139">
        <f>M44/$C$5</f>
        <v>7.8336089195011463E-2</v>
      </c>
      <c r="O44" s="138">
        <f>O5-O43</f>
        <v>19153.097272883555</v>
      </c>
      <c r="P44" s="140">
        <f>O44/$C$5</f>
        <v>8.9877182737378419E-3</v>
      </c>
    </row>
  </sheetData>
  <mergeCells count="8">
    <mergeCell ref="A2:P2"/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rightToLeft="1" workbookViewId="0">
      <pane xSplit="1" ySplit="5" topLeftCell="B16" activePane="bottomRight" state="frozen"/>
      <selection pane="topRight" activeCell="B1" sqref="B1"/>
      <selection pane="bottomLeft" activeCell="A6" sqref="A6"/>
      <selection pane="bottomRight" activeCell="K44" sqref="K44"/>
    </sheetView>
  </sheetViews>
  <sheetFormatPr defaultRowHeight="15" x14ac:dyDescent="0.25"/>
  <cols>
    <col min="1" max="1" width="21.28515625" customWidth="1"/>
    <col min="2" max="2" width="3" customWidth="1"/>
    <col min="3" max="3" width="15.140625" customWidth="1"/>
    <col min="4" max="4" width="9.28515625" customWidth="1"/>
    <col min="5" max="5" width="11.28515625" customWidth="1"/>
    <col min="6" max="6" width="9.85546875" customWidth="1"/>
    <col min="7" max="7" width="11.42578125" customWidth="1"/>
    <col min="8" max="8" width="8" customWidth="1"/>
    <col min="9" max="9" width="15" customWidth="1"/>
    <col min="10" max="10" width="8.5703125" customWidth="1"/>
    <col min="11" max="11" width="11.42578125" customWidth="1"/>
    <col min="12" max="12" width="9.42578125" customWidth="1"/>
    <col min="13" max="13" width="11.7109375" customWidth="1"/>
    <col min="14" max="14" width="10.28515625" customWidth="1"/>
    <col min="15" max="15" width="12.28515625" customWidth="1"/>
    <col min="16" max="16" width="9.42578125" customWidth="1"/>
  </cols>
  <sheetData>
    <row r="1" spans="1:16" ht="36" x14ac:dyDescent="0.55000000000000004">
      <c r="A1" s="75"/>
      <c r="B1" s="75"/>
      <c r="C1" s="75"/>
      <c r="D1" s="75"/>
      <c r="E1" s="75"/>
      <c r="F1" s="75"/>
      <c r="G1" s="75" t="s">
        <v>75</v>
      </c>
      <c r="H1" s="75"/>
      <c r="I1" s="75"/>
      <c r="J1" s="75"/>
      <c r="K1" s="75"/>
      <c r="L1" s="75"/>
      <c r="M1" s="75"/>
      <c r="N1" s="75"/>
      <c r="O1" s="75"/>
      <c r="P1" s="75"/>
    </row>
    <row r="2" spans="1:16" s="161" customFormat="1" ht="36" x14ac:dyDescent="0.55000000000000004">
      <c r="A2" s="225" t="s">
        <v>115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6" ht="15.75" x14ac:dyDescent="0.25">
      <c r="A3" s="76" t="s">
        <v>1</v>
      </c>
      <c r="B3" s="77" t="s">
        <v>0</v>
      </c>
      <c r="C3" s="226" t="s">
        <v>40</v>
      </c>
      <c r="D3" s="227"/>
      <c r="E3" s="228" t="s">
        <v>24</v>
      </c>
      <c r="F3" s="229"/>
      <c r="G3" s="228" t="s">
        <v>25</v>
      </c>
      <c r="H3" s="229"/>
      <c r="I3" s="230" t="s">
        <v>37</v>
      </c>
      <c r="J3" s="229"/>
      <c r="K3" s="228" t="s">
        <v>26</v>
      </c>
      <c r="L3" s="229"/>
      <c r="M3" s="228" t="s">
        <v>27</v>
      </c>
      <c r="N3" s="229"/>
      <c r="O3" s="231" t="s">
        <v>12</v>
      </c>
      <c r="P3" s="232"/>
    </row>
    <row r="4" spans="1:16" ht="15.75" x14ac:dyDescent="0.25">
      <c r="A4" s="78" t="s">
        <v>20</v>
      </c>
      <c r="B4" s="79"/>
      <c r="C4" s="80"/>
      <c r="D4" s="81">
        <v>1</v>
      </c>
      <c r="E4" s="80"/>
      <c r="F4" s="157">
        <v>0.32733391132907874</v>
      </c>
      <c r="G4" s="80"/>
      <c r="H4" s="158">
        <v>0.35416472009578215</v>
      </c>
      <c r="I4" s="80"/>
      <c r="J4" s="81">
        <v>0.10668294905307928</v>
      </c>
      <c r="K4" s="80"/>
      <c r="L4" s="81">
        <v>5.1319213722980692E-2</v>
      </c>
      <c r="M4" s="80"/>
      <c r="N4" s="159">
        <v>0.14076188241190815</v>
      </c>
      <c r="O4" s="80"/>
      <c r="P4" s="82">
        <v>1.9737323387170956E-2</v>
      </c>
    </row>
    <row r="5" spans="1:16" ht="15.75" x14ac:dyDescent="0.25">
      <c r="A5" s="83" t="s">
        <v>39</v>
      </c>
      <c r="B5" s="79" t="s">
        <v>2</v>
      </c>
      <c r="C5" s="80">
        <f>E5+G5+I5+K5+M5+O5</f>
        <v>1089785</v>
      </c>
      <c r="D5" s="158">
        <f>C5/C5</f>
        <v>1</v>
      </c>
      <c r="E5" s="80">
        <v>370000</v>
      </c>
      <c r="F5" s="81">
        <f>E5/E5</f>
        <v>1</v>
      </c>
      <c r="G5" s="80">
        <v>386000</v>
      </c>
      <c r="H5" s="81">
        <f>G5/G5</f>
        <v>1</v>
      </c>
      <c r="I5" s="84">
        <v>83794</v>
      </c>
      <c r="J5" s="81">
        <f>I5/I5</f>
        <v>1</v>
      </c>
      <c r="K5" s="84">
        <f>31903+18786</f>
        <v>50689</v>
      </c>
      <c r="L5" s="81">
        <f>K5/K5</f>
        <v>1</v>
      </c>
      <c r="M5" s="80">
        <v>191817</v>
      </c>
      <c r="N5" s="81">
        <f>M5/M5</f>
        <v>1</v>
      </c>
      <c r="O5" s="84">
        <v>7485</v>
      </c>
      <c r="P5" s="82">
        <f>O5/O5</f>
        <v>1</v>
      </c>
    </row>
    <row r="6" spans="1:16" ht="15.75" x14ac:dyDescent="0.25">
      <c r="A6" s="85" t="s">
        <v>11</v>
      </c>
      <c r="B6" s="86" t="s">
        <v>4</v>
      </c>
      <c r="C6" s="87">
        <f>SUM(C7:C14)</f>
        <v>697147.39</v>
      </c>
      <c r="D6" s="88">
        <f t="shared" ref="D6:D15" si="0">C6/$C$5</f>
        <v>0.63971094298416664</v>
      </c>
      <c r="E6" s="87">
        <f>SUM(E7:E14)</f>
        <v>218267.39</v>
      </c>
      <c r="F6" s="88">
        <f t="shared" ref="F6:F15" si="1">E6/E$5</f>
        <v>0.58991186486486491</v>
      </c>
      <c r="G6" s="87">
        <f>SUM(G7:G14)</f>
        <v>216506</v>
      </c>
      <c r="H6" s="88">
        <f t="shared" ref="H6:H11" si="2">G6/G$5</f>
        <v>0.5608963730569948</v>
      </c>
      <c r="I6" s="87">
        <f>SUM(I7:I14)</f>
        <v>80254</v>
      </c>
      <c r="J6" s="88">
        <f t="shared" ref="J6:J11" si="3">I6/I$5</f>
        <v>0.95775353843950639</v>
      </c>
      <c r="K6" s="87">
        <f>SUM(K7:K14)</f>
        <v>40826</v>
      </c>
      <c r="L6" s="88">
        <f t="shared" ref="L6:L11" si="4">K6/K$5</f>
        <v>0.80542129456095013</v>
      </c>
      <c r="M6" s="87">
        <f>SUM(M7:M14)</f>
        <v>123208</v>
      </c>
      <c r="N6" s="88">
        <f t="shared" ref="N6:N11" si="5">M6/M$5</f>
        <v>0.6423205451028845</v>
      </c>
      <c r="O6" s="87">
        <f>SUM(O7:O14)</f>
        <v>0</v>
      </c>
      <c r="P6" s="89">
        <f t="shared" ref="P6:P11" si="6">O6/O$5</f>
        <v>0</v>
      </c>
    </row>
    <row r="7" spans="1:16" ht="15.75" x14ac:dyDescent="0.25">
      <c r="A7" s="90" t="s">
        <v>17</v>
      </c>
      <c r="B7" s="90" t="s">
        <v>3</v>
      </c>
      <c r="C7" s="91">
        <f>E7+G7+I7+K7+M7+O7</f>
        <v>416730</v>
      </c>
      <c r="D7" s="92">
        <f t="shared" si="0"/>
        <v>0.38239652775547472</v>
      </c>
      <c r="E7" s="91">
        <v>131590</v>
      </c>
      <c r="F7" s="92">
        <f t="shared" si="1"/>
        <v>0.35564864864864865</v>
      </c>
      <c r="G7" s="91">
        <v>134105</v>
      </c>
      <c r="H7" s="92">
        <f t="shared" si="2"/>
        <v>0.34742227979274609</v>
      </c>
      <c r="I7" s="91">
        <v>27827</v>
      </c>
      <c r="J7" s="92">
        <f t="shared" si="3"/>
        <v>0.33208821634007207</v>
      </c>
      <c r="K7" s="91"/>
      <c r="L7" s="92">
        <f t="shared" si="4"/>
        <v>0</v>
      </c>
      <c r="M7" s="91">
        <v>123208</v>
      </c>
      <c r="N7" s="92">
        <f t="shared" si="5"/>
        <v>0.6423205451028845</v>
      </c>
      <c r="O7" s="91"/>
      <c r="P7" s="93">
        <f t="shared" si="6"/>
        <v>0</v>
      </c>
    </row>
    <row r="8" spans="1:16" ht="15.75" x14ac:dyDescent="0.25">
      <c r="A8" s="90" t="s">
        <v>31</v>
      </c>
      <c r="B8" s="90" t="s">
        <v>3</v>
      </c>
      <c r="C8" s="91">
        <f>E8+G8+I8+K8+M8+O8</f>
        <v>186422.39</v>
      </c>
      <c r="D8" s="92">
        <f t="shared" si="0"/>
        <v>0.17106345747096904</v>
      </c>
      <c r="E8" s="91">
        <v>49227.39</v>
      </c>
      <c r="F8" s="92">
        <f t="shared" si="1"/>
        <v>0.133047</v>
      </c>
      <c r="G8" s="91">
        <v>50951</v>
      </c>
      <c r="H8" s="92">
        <f t="shared" si="2"/>
        <v>0.13199740932642487</v>
      </c>
      <c r="I8" s="91">
        <v>48418</v>
      </c>
      <c r="J8" s="92">
        <f t="shared" si="3"/>
        <v>0.57782180108360981</v>
      </c>
      <c r="K8" s="91">
        <v>37826</v>
      </c>
      <c r="L8" s="92">
        <f t="shared" si="4"/>
        <v>0.74623685612263013</v>
      </c>
      <c r="M8" s="91"/>
      <c r="N8" s="92">
        <f t="shared" si="5"/>
        <v>0</v>
      </c>
      <c r="O8" s="91"/>
      <c r="P8" s="93">
        <f t="shared" si="6"/>
        <v>0</v>
      </c>
    </row>
    <row r="9" spans="1:16" ht="15.75" x14ac:dyDescent="0.25">
      <c r="A9" s="90" t="s">
        <v>30</v>
      </c>
      <c r="B9" s="90" t="s">
        <v>3</v>
      </c>
      <c r="C9" s="91"/>
      <c r="D9" s="92">
        <f t="shared" si="0"/>
        <v>0</v>
      </c>
      <c r="E9" s="91"/>
      <c r="F9" s="92">
        <f t="shared" si="1"/>
        <v>0</v>
      </c>
      <c r="G9" s="91"/>
      <c r="H9" s="92">
        <f t="shared" si="2"/>
        <v>0</v>
      </c>
      <c r="I9" s="91"/>
      <c r="J9" s="92">
        <f t="shared" si="3"/>
        <v>0</v>
      </c>
      <c r="K9" s="91"/>
      <c r="L9" s="92">
        <f t="shared" si="4"/>
        <v>0</v>
      </c>
      <c r="M9" s="91"/>
      <c r="N9" s="92">
        <f t="shared" si="5"/>
        <v>0</v>
      </c>
      <c r="O9" s="91"/>
      <c r="P9" s="93">
        <f t="shared" si="6"/>
        <v>0</v>
      </c>
    </row>
    <row r="10" spans="1:16" ht="15.75" x14ac:dyDescent="0.25">
      <c r="A10" s="90" t="s">
        <v>38</v>
      </c>
      <c r="B10" s="90"/>
      <c r="C10" s="91">
        <v>18086</v>
      </c>
      <c r="D10" s="92">
        <f t="shared" si="0"/>
        <v>1.6595934060388059E-2</v>
      </c>
      <c r="E10" s="91"/>
      <c r="F10" s="92">
        <f t="shared" si="1"/>
        <v>0</v>
      </c>
      <c r="G10" s="91"/>
      <c r="H10" s="92">
        <f t="shared" si="2"/>
        <v>0</v>
      </c>
      <c r="I10" s="91"/>
      <c r="J10" s="92">
        <f t="shared" si="3"/>
        <v>0</v>
      </c>
      <c r="K10" s="91"/>
      <c r="L10" s="92">
        <f t="shared" si="4"/>
        <v>0</v>
      </c>
      <c r="M10" s="91"/>
      <c r="N10" s="92">
        <f t="shared" si="5"/>
        <v>0</v>
      </c>
      <c r="O10" s="91"/>
      <c r="P10" s="93">
        <f t="shared" si="6"/>
        <v>0</v>
      </c>
    </row>
    <row r="11" spans="1:16" ht="15.75" x14ac:dyDescent="0.25">
      <c r="A11" s="90" t="s">
        <v>76</v>
      </c>
      <c r="B11" s="90"/>
      <c r="C11" s="91">
        <v>15720</v>
      </c>
      <c r="D11" s="92">
        <f t="shared" si="0"/>
        <v>1.4424863619888326E-2</v>
      </c>
      <c r="E11" s="91">
        <v>7860</v>
      </c>
      <c r="F11" s="92">
        <f t="shared" si="1"/>
        <v>2.1243243243243243E-2</v>
      </c>
      <c r="G11" s="91">
        <v>7860</v>
      </c>
      <c r="H11" s="92">
        <f t="shared" si="2"/>
        <v>2.0362694300518135E-2</v>
      </c>
      <c r="I11" s="91"/>
      <c r="J11" s="92">
        <f t="shared" si="3"/>
        <v>0</v>
      </c>
      <c r="K11" s="91"/>
      <c r="L11" s="92">
        <f t="shared" si="4"/>
        <v>0</v>
      </c>
      <c r="M11" s="91"/>
      <c r="N11" s="92">
        <f t="shared" si="5"/>
        <v>0</v>
      </c>
      <c r="O11" s="91"/>
      <c r="P11" s="93">
        <f t="shared" si="6"/>
        <v>0</v>
      </c>
    </row>
    <row r="12" spans="1:16" ht="15.75" x14ac:dyDescent="0.25">
      <c r="A12" s="90" t="s">
        <v>77</v>
      </c>
      <c r="B12" s="90" t="s">
        <v>3</v>
      </c>
      <c r="C12" s="91">
        <f>E12+G12+K12+I12+M12</f>
        <v>10089</v>
      </c>
      <c r="D12" s="92">
        <f t="shared" si="0"/>
        <v>9.2577893804741303E-3</v>
      </c>
      <c r="E12" s="91">
        <v>4540</v>
      </c>
      <c r="F12" s="92">
        <f t="shared" si="1"/>
        <v>1.2270270270270269E-2</v>
      </c>
      <c r="G12" s="91">
        <v>4540</v>
      </c>
      <c r="H12" s="92">
        <f t="shared" ref="H12:H17" si="7">G12/G$5</f>
        <v>1.1761658031088083E-2</v>
      </c>
      <c r="I12" s="91">
        <v>1009</v>
      </c>
      <c r="J12" s="92">
        <f t="shared" ref="J12:J17" si="8">I12/I$5</f>
        <v>1.2041434947609614E-2</v>
      </c>
      <c r="K12" s="91"/>
      <c r="L12" s="92">
        <f t="shared" ref="L12:L17" si="9">K12/K$5</f>
        <v>0</v>
      </c>
      <c r="M12" s="91"/>
      <c r="N12" s="92">
        <f t="shared" ref="N12:N17" si="10">M12/M$5</f>
        <v>0</v>
      </c>
      <c r="O12" s="91"/>
      <c r="P12" s="93">
        <f t="shared" ref="P12:P17" si="11">O12/O$5</f>
        <v>0</v>
      </c>
    </row>
    <row r="13" spans="1:16" ht="15.75" x14ac:dyDescent="0.25">
      <c r="A13" s="90" t="s">
        <v>21</v>
      </c>
      <c r="B13" s="90" t="s">
        <v>3</v>
      </c>
      <c r="C13" s="91">
        <v>50100</v>
      </c>
      <c r="D13" s="92">
        <f t="shared" si="0"/>
        <v>4.5972370696972339E-2</v>
      </c>
      <c r="E13" s="91">
        <v>25050</v>
      </c>
      <c r="F13" s="92">
        <f t="shared" si="1"/>
        <v>6.7702702702702705E-2</v>
      </c>
      <c r="G13" s="91">
        <v>19050</v>
      </c>
      <c r="H13" s="92">
        <f t="shared" si="7"/>
        <v>4.9352331606217617E-2</v>
      </c>
      <c r="I13" s="91">
        <v>3000</v>
      </c>
      <c r="J13" s="92">
        <f t="shared" si="8"/>
        <v>3.580208606821491E-2</v>
      </c>
      <c r="K13" s="91">
        <v>3000</v>
      </c>
      <c r="L13" s="92">
        <f t="shared" si="9"/>
        <v>5.9184438438319949E-2</v>
      </c>
      <c r="M13" s="91"/>
      <c r="N13" s="92">
        <f t="shared" si="10"/>
        <v>0</v>
      </c>
      <c r="O13" s="91"/>
      <c r="P13" s="93">
        <f t="shared" si="11"/>
        <v>0</v>
      </c>
    </row>
    <row r="14" spans="1:16" ht="15.75" x14ac:dyDescent="0.25">
      <c r="A14" s="90" t="s">
        <v>12</v>
      </c>
      <c r="B14" s="90" t="s">
        <v>3</v>
      </c>
      <c r="C14" s="91">
        <f>E14+G14+I14+K14+M14+O14</f>
        <v>0</v>
      </c>
      <c r="D14" s="92">
        <f t="shared" si="0"/>
        <v>0</v>
      </c>
      <c r="E14" s="91"/>
      <c r="F14" s="92">
        <f t="shared" si="1"/>
        <v>0</v>
      </c>
      <c r="G14" s="91"/>
      <c r="H14" s="92">
        <f t="shared" si="7"/>
        <v>0</v>
      </c>
      <c r="I14" s="91"/>
      <c r="J14" s="92">
        <f t="shared" si="8"/>
        <v>0</v>
      </c>
      <c r="K14" s="91"/>
      <c r="L14" s="92">
        <f t="shared" si="9"/>
        <v>0</v>
      </c>
      <c r="M14" s="91"/>
      <c r="N14" s="92">
        <f t="shared" si="10"/>
        <v>0</v>
      </c>
      <c r="O14" s="91"/>
      <c r="P14" s="93">
        <f t="shared" si="11"/>
        <v>0</v>
      </c>
    </row>
    <row r="15" spans="1:16" ht="18" x14ac:dyDescent="0.25">
      <c r="A15" s="94" t="s">
        <v>5</v>
      </c>
      <c r="B15" s="95" t="s">
        <v>4</v>
      </c>
      <c r="C15" s="96">
        <f>C5-C6</f>
        <v>392637.61</v>
      </c>
      <c r="D15" s="97">
        <f t="shared" si="0"/>
        <v>0.36028905701583336</v>
      </c>
      <c r="E15" s="96">
        <f>E5-E6</f>
        <v>151732.60999999999</v>
      </c>
      <c r="F15" s="98">
        <f t="shared" si="1"/>
        <v>0.41008813513513509</v>
      </c>
      <c r="G15" s="96">
        <f>G5-G6</f>
        <v>169494</v>
      </c>
      <c r="H15" s="98">
        <f t="shared" si="7"/>
        <v>0.4391036269430052</v>
      </c>
      <c r="I15" s="96">
        <f>I5-I6</f>
        <v>3540</v>
      </c>
      <c r="J15" s="98">
        <f t="shared" si="8"/>
        <v>4.2246461560493588E-2</v>
      </c>
      <c r="K15" s="96">
        <f>K5-K6</f>
        <v>9863</v>
      </c>
      <c r="L15" s="98">
        <f t="shared" si="9"/>
        <v>0.1945787054390499</v>
      </c>
      <c r="M15" s="96">
        <f>M5-M6</f>
        <v>68609</v>
      </c>
      <c r="N15" s="98">
        <f t="shared" si="10"/>
        <v>0.3576794548971155</v>
      </c>
      <c r="O15" s="96">
        <f>O5-O6</f>
        <v>7485</v>
      </c>
      <c r="P15" s="99">
        <f t="shared" si="11"/>
        <v>1</v>
      </c>
    </row>
    <row r="16" spans="1:16" ht="15.75" x14ac:dyDescent="0.25">
      <c r="A16" s="153" t="s">
        <v>35</v>
      </c>
      <c r="B16" s="154" t="s">
        <v>4</v>
      </c>
      <c r="C16" s="155">
        <f>C17+C23+C35</f>
        <v>271463</v>
      </c>
      <c r="D16" s="156">
        <f>D4</f>
        <v>1</v>
      </c>
      <c r="E16" s="155">
        <f>F16*$C16</f>
        <v>88859.045571125709</v>
      </c>
      <c r="F16" s="156">
        <f>F4</f>
        <v>0.32733391132907874</v>
      </c>
      <c r="G16" s="155">
        <f>H16*$C16</f>
        <v>96142.617411361309</v>
      </c>
      <c r="H16" s="156">
        <f>H4</f>
        <v>0.35416472009578215</v>
      </c>
      <c r="I16" s="155">
        <f>J16*$C16</f>
        <v>28960.473398796061</v>
      </c>
      <c r="J16" s="156">
        <f>J4</f>
        <v>0.10668294905307928</v>
      </c>
      <c r="K16" s="155">
        <f>L16*$C16</f>
        <v>13931.267714881507</v>
      </c>
      <c r="L16" s="156">
        <f>L4</f>
        <v>5.1319213722980692E-2</v>
      </c>
      <c r="M16" s="155">
        <f>N16*$C16</f>
        <v>38211.642885183821</v>
      </c>
      <c r="N16" s="156">
        <f>N4</f>
        <v>0.14076188241190815</v>
      </c>
      <c r="O16" s="155">
        <f>P16*$C16</f>
        <v>5357.9530186515894</v>
      </c>
      <c r="P16" s="156">
        <f>P4</f>
        <v>1.9737323387170956E-2</v>
      </c>
    </row>
    <row r="17" spans="1:16" ht="15.75" x14ac:dyDescent="0.25">
      <c r="A17" s="100" t="s">
        <v>6</v>
      </c>
      <c r="B17" s="101" t="s">
        <v>4</v>
      </c>
      <c r="C17" s="102">
        <f>SUM(C18:C22)</f>
        <v>94672</v>
      </c>
      <c r="D17" s="103">
        <f>C17/$C$5</f>
        <v>8.6872181210055188E-2</v>
      </c>
      <c r="E17" s="160">
        <f>$C17*F4</f>
        <v>30989.356053346542</v>
      </c>
      <c r="F17" s="104">
        <f>E17/E5</f>
        <v>8.3755016360396062E-2</v>
      </c>
      <c r="G17" s="102">
        <f>$C17*H4</f>
        <v>33529.482380907888</v>
      </c>
      <c r="H17" s="104">
        <f t="shared" si="7"/>
        <v>8.6863943991989351E-2</v>
      </c>
      <c r="I17" s="102">
        <f>$C17*J4</f>
        <v>10099.888152753121</v>
      </c>
      <c r="J17" s="104">
        <f t="shared" si="8"/>
        <v>0.1205323549747371</v>
      </c>
      <c r="K17" s="102">
        <f>$C17*L4</f>
        <v>4858.4926015820283</v>
      </c>
      <c r="L17" s="104">
        <f t="shared" si="9"/>
        <v>9.5849052093788162E-2</v>
      </c>
      <c r="M17" s="102">
        <f>$C17*N4</f>
        <v>13326.208931700168</v>
      </c>
      <c r="N17" s="104">
        <f t="shared" si="10"/>
        <v>6.9473555168208079E-2</v>
      </c>
      <c r="O17" s="102">
        <f>$C17*P4</f>
        <v>1868.5718797102488</v>
      </c>
      <c r="P17" s="105">
        <f t="shared" si="11"/>
        <v>0.24964220169809603</v>
      </c>
    </row>
    <row r="18" spans="1:16" ht="15.75" x14ac:dyDescent="0.25">
      <c r="A18" s="106" t="s">
        <v>78</v>
      </c>
      <c r="B18" s="107" t="s">
        <v>3</v>
      </c>
      <c r="C18" s="108">
        <v>53384</v>
      </c>
      <c r="D18" s="109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10"/>
    </row>
    <row r="19" spans="1:16" ht="15.75" x14ac:dyDescent="0.25">
      <c r="A19" s="111" t="s">
        <v>38</v>
      </c>
      <c r="B19" s="107"/>
      <c r="C19" s="108"/>
      <c r="D19" s="109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10"/>
    </row>
    <row r="20" spans="1:16" ht="15.75" x14ac:dyDescent="0.25">
      <c r="A20" s="111" t="s">
        <v>79</v>
      </c>
      <c r="B20" s="111"/>
      <c r="C20" s="112">
        <v>20453</v>
      </c>
      <c r="D20" s="109"/>
      <c r="E20" s="108"/>
      <c r="F20" s="109"/>
      <c r="G20" s="108"/>
      <c r="H20" s="109"/>
      <c r="I20" s="108"/>
      <c r="J20" s="109"/>
      <c r="K20" s="108"/>
      <c r="L20" s="109"/>
      <c r="M20" s="108"/>
      <c r="N20" s="109"/>
      <c r="O20" s="108"/>
      <c r="P20" s="110"/>
    </row>
    <row r="21" spans="1:16" ht="15.75" x14ac:dyDescent="0.25">
      <c r="A21" s="111" t="s">
        <v>22</v>
      </c>
      <c r="B21" s="111" t="s">
        <v>3</v>
      </c>
      <c r="C21" s="112">
        <v>20835</v>
      </c>
      <c r="D21" s="109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10"/>
    </row>
    <row r="22" spans="1:16" ht="15.75" x14ac:dyDescent="0.25">
      <c r="A22" s="106" t="s">
        <v>12</v>
      </c>
      <c r="B22" s="107" t="s">
        <v>3</v>
      </c>
      <c r="C22" s="108"/>
      <c r="D22" s="109"/>
      <c r="E22" s="108"/>
      <c r="F22" s="109"/>
      <c r="G22" s="108"/>
      <c r="H22" s="109"/>
      <c r="I22" s="108"/>
      <c r="J22" s="109"/>
      <c r="K22" s="108"/>
      <c r="L22" s="109"/>
      <c r="M22" s="108"/>
      <c r="N22" s="109"/>
      <c r="O22" s="108"/>
      <c r="P22" s="110"/>
    </row>
    <row r="23" spans="1:16" ht="15.75" x14ac:dyDescent="0.25">
      <c r="A23" s="141" t="s">
        <v>89</v>
      </c>
      <c r="B23" s="113"/>
      <c r="C23" s="114">
        <f>SUM(C24:C34)</f>
        <v>115801</v>
      </c>
      <c r="D23" s="115"/>
      <c r="E23" s="114"/>
      <c r="F23" s="116"/>
      <c r="G23" s="114"/>
      <c r="H23" s="116"/>
      <c r="I23" s="114"/>
      <c r="J23" s="116"/>
      <c r="K23" s="114"/>
      <c r="L23" s="116"/>
      <c r="M23" s="114"/>
      <c r="N23" s="116"/>
      <c r="O23" s="114"/>
      <c r="P23" s="142"/>
    </row>
    <row r="24" spans="1:16" ht="15.75" x14ac:dyDescent="0.25">
      <c r="A24" s="117" t="s">
        <v>80</v>
      </c>
      <c r="B24" s="118" t="s">
        <v>3</v>
      </c>
      <c r="C24" s="119">
        <v>11603</v>
      </c>
      <c r="D24" s="120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1"/>
    </row>
    <row r="25" spans="1:16" ht="15.75" x14ac:dyDescent="0.25">
      <c r="A25" s="117" t="s">
        <v>106</v>
      </c>
      <c r="B25" s="118"/>
      <c r="C25" s="119">
        <v>10090</v>
      </c>
      <c r="D25" s="120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1"/>
    </row>
    <row r="26" spans="1:16" ht="15.75" x14ac:dyDescent="0.25">
      <c r="A26" s="117" t="s">
        <v>32</v>
      </c>
      <c r="B26" s="118" t="s">
        <v>3</v>
      </c>
      <c r="C26" s="119">
        <v>4866</v>
      </c>
      <c r="D26" s="120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1"/>
    </row>
    <row r="27" spans="1:16" ht="15.75" x14ac:dyDescent="0.25">
      <c r="A27" s="117" t="s">
        <v>81</v>
      </c>
      <c r="B27" s="118"/>
      <c r="C27" s="119">
        <v>2281</v>
      </c>
      <c r="D27" s="120"/>
      <c r="E27" s="119"/>
      <c r="F27" s="120"/>
      <c r="G27" s="119"/>
      <c r="H27" s="120"/>
      <c r="I27" s="119"/>
      <c r="J27" s="120"/>
      <c r="K27" s="119"/>
      <c r="L27" s="120"/>
      <c r="M27" s="119"/>
      <c r="N27" s="120"/>
      <c r="O27" s="119"/>
      <c r="P27" s="121"/>
    </row>
    <row r="28" spans="1:16" ht="15.75" x14ac:dyDescent="0.25">
      <c r="A28" s="117" t="s">
        <v>82</v>
      </c>
      <c r="B28" s="118"/>
      <c r="C28" s="119">
        <v>4854</v>
      </c>
      <c r="D28" s="120"/>
      <c r="E28" s="119"/>
      <c r="F28" s="120"/>
      <c r="G28" s="119"/>
      <c r="H28" s="120"/>
      <c r="I28" s="119"/>
      <c r="J28" s="120"/>
      <c r="K28" s="119"/>
      <c r="L28" s="120"/>
      <c r="M28" s="119"/>
      <c r="N28" s="120"/>
      <c r="O28" s="119"/>
      <c r="P28" s="121"/>
    </row>
    <row r="29" spans="1:16" ht="15.75" x14ac:dyDescent="0.25">
      <c r="A29" s="117" t="s">
        <v>83</v>
      </c>
      <c r="B29" s="118"/>
      <c r="C29" s="119">
        <v>36900</v>
      </c>
      <c r="D29" s="120"/>
      <c r="E29" s="119"/>
      <c r="F29" s="120"/>
      <c r="G29" s="119"/>
      <c r="H29" s="120"/>
      <c r="I29" s="119"/>
      <c r="J29" s="120"/>
      <c r="K29" s="119"/>
      <c r="L29" s="120"/>
      <c r="M29" s="119"/>
      <c r="N29" s="120"/>
      <c r="O29" s="119"/>
      <c r="P29" s="121"/>
    </row>
    <row r="30" spans="1:16" ht="15.75" x14ac:dyDescent="0.25">
      <c r="A30" s="117" t="s">
        <v>84</v>
      </c>
      <c r="B30" s="118"/>
      <c r="C30" s="119">
        <v>5993</v>
      </c>
      <c r="D30" s="120"/>
      <c r="E30" s="119"/>
      <c r="F30" s="120"/>
      <c r="G30" s="119"/>
      <c r="H30" s="120"/>
      <c r="I30" s="119"/>
      <c r="J30" s="120"/>
      <c r="K30" s="119"/>
      <c r="L30" s="120"/>
      <c r="M30" s="119"/>
      <c r="N30" s="120"/>
      <c r="O30" s="119"/>
      <c r="P30" s="121"/>
    </row>
    <row r="31" spans="1:16" ht="15.75" x14ac:dyDescent="0.25">
      <c r="A31" s="117" t="s">
        <v>14</v>
      </c>
      <c r="B31" s="118" t="s">
        <v>3</v>
      </c>
      <c r="C31" s="119">
        <v>7540</v>
      </c>
      <c r="D31" s="120"/>
      <c r="E31" s="119"/>
      <c r="F31" s="120"/>
      <c r="G31" s="119"/>
      <c r="H31" s="120"/>
      <c r="I31" s="119"/>
      <c r="J31" s="120"/>
      <c r="K31" s="119"/>
      <c r="L31" s="120"/>
      <c r="M31" s="119"/>
      <c r="N31" s="120"/>
      <c r="O31" s="119"/>
      <c r="P31" s="121"/>
    </row>
    <row r="32" spans="1:16" ht="15.75" x14ac:dyDescent="0.25">
      <c r="A32" s="117" t="s">
        <v>85</v>
      </c>
      <c r="B32" s="118" t="s">
        <v>3</v>
      </c>
      <c r="C32" s="119">
        <v>14872</v>
      </c>
      <c r="D32" s="120"/>
      <c r="E32" s="119"/>
      <c r="F32" s="120"/>
      <c r="G32" s="119"/>
      <c r="H32" s="120"/>
      <c r="I32" s="119"/>
      <c r="J32" s="120"/>
      <c r="K32" s="119"/>
      <c r="L32" s="120"/>
      <c r="M32" s="119"/>
      <c r="N32" s="120"/>
      <c r="O32" s="119"/>
      <c r="P32" s="121"/>
    </row>
    <row r="33" spans="1:16" ht="15.75" x14ac:dyDescent="0.25">
      <c r="A33" s="117" t="s">
        <v>108</v>
      </c>
      <c r="B33" s="118"/>
      <c r="C33" s="119">
        <v>10852</v>
      </c>
      <c r="D33" s="120"/>
      <c r="E33" s="119"/>
      <c r="F33" s="120"/>
      <c r="G33" s="119"/>
      <c r="H33" s="120"/>
      <c r="I33" s="119"/>
      <c r="J33" s="120"/>
      <c r="K33" s="119"/>
      <c r="L33" s="120"/>
      <c r="M33" s="119"/>
      <c r="N33" s="120"/>
      <c r="O33" s="119"/>
      <c r="P33" s="121"/>
    </row>
    <row r="34" spans="1:16" ht="15.75" x14ac:dyDescent="0.25">
      <c r="A34" s="117" t="s">
        <v>107</v>
      </c>
      <c r="B34" s="118" t="s">
        <v>3</v>
      </c>
      <c r="C34" s="119">
        <v>5950</v>
      </c>
      <c r="D34" s="120"/>
      <c r="E34" s="119"/>
      <c r="F34" s="120"/>
      <c r="G34" s="119"/>
      <c r="H34" s="120"/>
      <c r="I34" s="119"/>
      <c r="J34" s="120"/>
      <c r="K34" s="119"/>
      <c r="L34" s="120"/>
      <c r="M34" s="119"/>
      <c r="N34" s="120"/>
      <c r="O34" s="119"/>
      <c r="P34" s="121"/>
    </row>
    <row r="35" spans="1:16" ht="15.75" x14ac:dyDescent="0.25">
      <c r="A35" s="148" t="s">
        <v>86</v>
      </c>
      <c r="B35" s="149"/>
      <c r="C35" s="150">
        <f>SUM(C36:C38)</f>
        <v>60990</v>
      </c>
      <c r="D35" s="151"/>
      <c r="E35" s="150"/>
      <c r="F35" s="151"/>
      <c r="G35" s="150"/>
      <c r="H35" s="151"/>
      <c r="I35" s="150"/>
      <c r="J35" s="151"/>
      <c r="K35" s="150"/>
      <c r="L35" s="151"/>
      <c r="M35" s="150"/>
      <c r="N35" s="151"/>
      <c r="O35" s="150"/>
      <c r="P35" s="152"/>
    </row>
    <row r="36" spans="1:16" ht="15.75" x14ac:dyDescent="0.25">
      <c r="A36" s="147" t="s">
        <v>87</v>
      </c>
      <c r="B36" s="143"/>
      <c r="C36" s="144">
        <v>47725</v>
      </c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44"/>
      <c r="P36" s="146"/>
    </row>
    <row r="37" spans="1:16" ht="15.75" x14ac:dyDescent="0.25">
      <c r="A37" s="147" t="s">
        <v>88</v>
      </c>
      <c r="B37" s="143" t="s">
        <v>3</v>
      </c>
      <c r="C37" s="144">
        <v>13265</v>
      </c>
      <c r="D37" s="145"/>
      <c r="E37" s="144"/>
      <c r="F37" s="145"/>
      <c r="G37" s="144"/>
      <c r="H37" s="145"/>
      <c r="I37" s="144"/>
      <c r="J37" s="145"/>
      <c r="K37" s="144"/>
      <c r="L37" s="145"/>
      <c r="M37" s="144"/>
      <c r="N37" s="145"/>
      <c r="O37" s="144"/>
      <c r="P37" s="146"/>
    </row>
    <row r="38" spans="1:16" ht="15.75" x14ac:dyDescent="0.25">
      <c r="A38" s="147" t="s">
        <v>12</v>
      </c>
      <c r="B38" s="143" t="s">
        <v>3</v>
      </c>
      <c r="C38" s="144"/>
      <c r="D38" s="145"/>
      <c r="E38" s="144"/>
      <c r="F38" s="145"/>
      <c r="G38" s="144"/>
      <c r="H38" s="145"/>
      <c r="I38" s="144"/>
      <c r="J38" s="145"/>
      <c r="K38" s="144"/>
      <c r="L38" s="145"/>
      <c r="M38" s="144"/>
      <c r="N38" s="145"/>
      <c r="O38" s="144"/>
      <c r="P38" s="146"/>
    </row>
    <row r="39" spans="1:16" ht="18" x14ac:dyDescent="0.25">
      <c r="A39" s="122" t="s">
        <v>16</v>
      </c>
      <c r="B39" s="95" t="s">
        <v>4</v>
      </c>
      <c r="C39" s="96">
        <f>C15-C16</f>
        <v>121174.60999999999</v>
      </c>
      <c r="D39" s="97">
        <f>C39/$C$5</f>
        <v>0.11119129920121858</v>
      </c>
      <c r="E39" s="96">
        <f>E15-E16</f>
        <v>62873.564428874277</v>
      </c>
      <c r="F39" s="98">
        <f>E39/E$5</f>
        <v>0.16992855251047101</v>
      </c>
      <c r="G39" s="96">
        <f>G15-G16</f>
        <v>73351.382588638691</v>
      </c>
      <c r="H39" s="98">
        <f>G39/G$5</f>
        <v>0.19002948857160282</v>
      </c>
      <c r="I39" s="96">
        <f>I15-I16</f>
        <v>-25420.473398796061</v>
      </c>
      <c r="J39" s="98">
        <f>I39/I$5</f>
        <v>-0.30336865883948805</v>
      </c>
      <c r="K39" s="96">
        <f>K15-K16</f>
        <v>-4068.2677148815073</v>
      </c>
      <c r="L39" s="98">
        <f>K39/K$5</f>
        <v>-8.0259380040669723E-2</v>
      </c>
      <c r="M39" s="96">
        <f>M15-M16</f>
        <v>30397.357114816179</v>
      </c>
      <c r="N39" s="98">
        <f>M39/M$5</f>
        <v>0.15847061060706913</v>
      </c>
      <c r="O39" s="96">
        <f>O15-O16</f>
        <v>2127.0469813484106</v>
      </c>
      <c r="P39" s="99">
        <f>O39/O$5</f>
        <v>0.28417461340660127</v>
      </c>
    </row>
    <row r="40" spans="1:16" ht="15.75" x14ac:dyDescent="0.25">
      <c r="A40" s="123" t="s">
        <v>7</v>
      </c>
      <c r="B40" s="124" t="s">
        <v>3</v>
      </c>
      <c r="C40" s="125">
        <f>D40*C5</f>
        <v>108978.5</v>
      </c>
      <c r="D40" s="126">
        <v>0.1</v>
      </c>
      <c r="E40" s="125">
        <f>E5*F40</f>
        <v>37000</v>
      </c>
      <c r="F40" s="126">
        <v>0.1</v>
      </c>
      <c r="G40" s="125">
        <f>G5*H40</f>
        <v>38600</v>
      </c>
      <c r="H40" s="126">
        <v>0.1</v>
      </c>
      <c r="I40" s="125">
        <f>I5*J40</f>
        <v>8379.4</v>
      </c>
      <c r="J40" s="126">
        <v>0.1</v>
      </c>
      <c r="K40" s="125">
        <f>K5*L40</f>
        <v>5068.9000000000005</v>
      </c>
      <c r="L40" s="126">
        <v>0.1</v>
      </c>
      <c r="M40" s="125">
        <f>M5*N40</f>
        <v>19181.7</v>
      </c>
      <c r="N40" s="126">
        <v>0.1</v>
      </c>
      <c r="O40" s="125">
        <f>O5*P40</f>
        <v>748.5</v>
      </c>
      <c r="P40" s="127">
        <v>0.1</v>
      </c>
    </row>
    <row r="41" spans="1:16" ht="15.75" x14ac:dyDescent="0.25">
      <c r="A41" s="123" t="s">
        <v>8</v>
      </c>
      <c r="B41" s="124" t="s">
        <v>4</v>
      </c>
      <c r="C41" s="125">
        <f>C39-C40</f>
        <v>12196.109999999986</v>
      </c>
      <c r="D41" s="128">
        <f>C41/$C$5</f>
        <v>1.1191299201218577E-2</v>
      </c>
      <c r="E41" s="125">
        <f>E39-E40</f>
        <v>25873.564428874277</v>
      </c>
      <c r="F41" s="129">
        <f>E41/E$5</f>
        <v>6.9928552510471018E-2</v>
      </c>
      <c r="G41" s="125">
        <f>G39-G40</f>
        <v>34751.382588638691</v>
      </c>
      <c r="H41" s="128">
        <f>G41/G$5</f>
        <v>9.0029488571602825E-2</v>
      </c>
      <c r="I41" s="125">
        <f>I39-I40</f>
        <v>-33799.873398796059</v>
      </c>
      <c r="J41" s="129">
        <f>I41/I$5</f>
        <v>-0.40336865883948803</v>
      </c>
      <c r="K41" s="125">
        <f>K39-K40</f>
        <v>-9137.167714881507</v>
      </c>
      <c r="L41" s="128">
        <f>K41/K$5</f>
        <v>-0.18025938004066971</v>
      </c>
      <c r="M41" s="125">
        <f>M39-M40</f>
        <v>11215.657114816178</v>
      </c>
      <c r="N41" s="128">
        <f>M41/M$5</f>
        <v>5.8470610607069123E-2</v>
      </c>
      <c r="O41" s="125">
        <f>O39-O40</f>
        <v>1378.5469813484106</v>
      </c>
      <c r="P41" s="130">
        <f>O41/O$5</f>
        <v>0.18417461340660127</v>
      </c>
    </row>
    <row r="42" spans="1:16" ht="15.75" x14ac:dyDescent="0.25">
      <c r="A42" s="131" t="s">
        <v>9</v>
      </c>
      <c r="B42" s="132" t="s">
        <v>4</v>
      </c>
      <c r="C42" s="133">
        <f>C16/D15</f>
        <v>753458.90948908345</v>
      </c>
      <c r="D42" s="134">
        <f>C42/$C$5</f>
        <v>0.69138307968001345</v>
      </c>
      <c r="E42" s="133">
        <f>E16/F15</f>
        <v>216682.80049566482</v>
      </c>
      <c r="F42" s="134">
        <f>E42/$C$5</f>
        <v>0.19883077900289031</v>
      </c>
      <c r="G42" s="133">
        <f>G16/H15</f>
        <v>218952.00019343142</v>
      </c>
      <c r="H42" s="134">
        <f>G42/$C$5</f>
        <v>0.20091302430610755</v>
      </c>
      <c r="I42" s="133">
        <f>I16/J15</f>
        <v>685512.40338381846</v>
      </c>
      <c r="J42" s="134">
        <f>I42/$C$5</f>
        <v>0.62903453743978721</v>
      </c>
      <c r="K42" s="133">
        <f>K16/L15</f>
        <v>71597.08295646646</v>
      </c>
      <c r="L42" s="134">
        <f>K42/$C$5</f>
        <v>6.5698356057815502E-2</v>
      </c>
      <c r="M42" s="133">
        <f>M16/N15</f>
        <v>106832.08767519283</v>
      </c>
      <c r="N42" s="134">
        <f>M42/$C$5</f>
        <v>9.8030425886934419E-2</v>
      </c>
      <c r="O42" s="133">
        <f>O16/P15</f>
        <v>5357.9530186515894</v>
      </c>
      <c r="P42" s="135">
        <f>O42/$C$5</f>
        <v>4.9165230010062436E-3</v>
      </c>
    </row>
    <row r="43" spans="1:16" ht="15.75" x14ac:dyDescent="0.25">
      <c r="A43" s="136" t="s">
        <v>10</v>
      </c>
      <c r="B43" s="137" t="s">
        <v>4</v>
      </c>
      <c r="C43" s="138">
        <f>C5-C42</f>
        <v>336326.09051091655</v>
      </c>
      <c r="D43" s="139">
        <f>C43/$C$5</f>
        <v>0.30861692031998655</v>
      </c>
      <c r="E43" s="138">
        <f>E5-E42</f>
        <v>153317.19950433518</v>
      </c>
      <c r="F43" s="139">
        <f>E43/$C$5</f>
        <v>0.14068573113443034</v>
      </c>
      <c r="G43" s="138">
        <f>G5-G42</f>
        <v>167047.99980656858</v>
      </c>
      <c r="H43" s="139">
        <f>G43/$C$5</f>
        <v>0.15328528086417834</v>
      </c>
      <c r="I43" s="138">
        <f>I5-I42</f>
        <v>-601718.40338381846</v>
      </c>
      <c r="J43" s="139">
        <f>I43/$C$5</f>
        <v>-0.55214414162776915</v>
      </c>
      <c r="K43" s="138">
        <f>K5-K42</f>
        <v>-20908.08295646646</v>
      </c>
      <c r="L43" s="139">
        <f>K43/$C$5</f>
        <v>-1.9185511781192124E-2</v>
      </c>
      <c r="M43" s="138">
        <f>M5-M42</f>
        <v>84984.91232480717</v>
      </c>
      <c r="N43" s="139">
        <f>M43/$C$5</f>
        <v>7.7983191477958652E-2</v>
      </c>
      <c r="O43" s="138">
        <f>O5-O42</f>
        <v>2127.0469813484106</v>
      </c>
      <c r="P43" s="140">
        <f>O43/$C$5</f>
        <v>1.9518042378527973E-3</v>
      </c>
    </row>
  </sheetData>
  <mergeCells count="8">
    <mergeCell ref="A2:P2"/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  <pageSetup orientation="portrait" r:id="rId1"/>
  <ignoredErrors>
    <ignoredError sqref="D15 F17 H15 J15 L15 N15:O15 F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workbookViewId="0">
      <selection sqref="A1:V16"/>
    </sheetView>
  </sheetViews>
  <sheetFormatPr defaultRowHeight="15" x14ac:dyDescent="0.25"/>
  <cols>
    <col min="1" max="1" width="18" customWidth="1"/>
    <col min="2" max="2" width="6.5703125" hidden="1" customWidth="1"/>
    <col min="3" max="3" width="15.85546875" hidden="1" customWidth="1"/>
    <col min="4" max="6" width="9.140625" hidden="1" customWidth="1"/>
    <col min="7" max="7" width="5.5703125" customWidth="1"/>
    <col min="8" max="8" width="13.42578125" customWidth="1"/>
    <col min="9" max="9" width="12.5703125" customWidth="1"/>
    <col min="12" max="12" width="2.5703125" customWidth="1"/>
    <col min="13" max="13" width="6.140625" customWidth="1"/>
    <col min="14" max="14" width="19.28515625" customWidth="1"/>
    <col min="16" max="16" width="9.85546875" bestFit="1" customWidth="1"/>
    <col min="17" max="17" width="3.42578125" customWidth="1"/>
    <col min="18" max="18" width="6.42578125" customWidth="1"/>
    <col min="19" max="19" width="10" customWidth="1"/>
    <col min="22" max="22" width="43.7109375" customWidth="1"/>
  </cols>
  <sheetData>
    <row r="1" spans="1:22" ht="23.25" thickBot="1" x14ac:dyDescent="0.5">
      <c r="B1" s="233" t="s">
        <v>92</v>
      </c>
      <c r="C1" s="233"/>
      <c r="D1" s="233"/>
      <c r="E1" s="233"/>
      <c r="F1" s="233"/>
      <c r="G1" s="179"/>
      <c r="H1" s="235" t="s">
        <v>90</v>
      </c>
      <c r="I1" s="235"/>
      <c r="J1" s="235"/>
      <c r="K1" s="185">
        <v>0.25</v>
      </c>
      <c r="L1" s="186"/>
      <c r="M1" s="234">
        <v>2013</v>
      </c>
      <c r="N1" s="234"/>
      <c r="O1" s="234"/>
      <c r="P1" s="234"/>
      <c r="Q1" s="186"/>
      <c r="R1" s="236" t="s">
        <v>93</v>
      </c>
      <c r="S1" s="236"/>
      <c r="T1" s="236"/>
      <c r="U1" s="236"/>
    </row>
    <row r="2" spans="1:22" ht="83.25" customHeight="1" thickBot="1" x14ac:dyDescent="0.3">
      <c r="B2" s="162"/>
      <c r="C2" s="162"/>
      <c r="D2" s="162"/>
      <c r="E2" s="162"/>
      <c r="F2" s="162"/>
      <c r="G2" s="162"/>
      <c r="H2" s="187"/>
      <c r="I2" s="187" t="s">
        <v>20</v>
      </c>
      <c r="J2" s="187" t="s">
        <v>5</v>
      </c>
      <c r="K2" s="187" t="s">
        <v>91</v>
      </c>
      <c r="L2" s="188"/>
      <c r="M2" s="189"/>
      <c r="N2" s="189" t="s">
        <v>20</v>
      </c>
      <c r="O2" s="189" t="s">
        <v>5</v>
      </c>
      <c r="P2" s="189" t="s">
        <v>91</v>
      </c>
      <c r="Q2" s="188"/>
      <c r="R2" s="190"/>
      <c r="S2" s="190" t="s">
        <v>20</v>
      </c>
      <c r="T2" s="190" t="s">
        <v>5</v>
      </c>
      <c r="U2" s="190" t="s">
        <v>91</v>
      </c>
    </row>
    <row r="3" spans="1:22" ht="19.5" thickTop="1" x14ac:dyDescent="0.3">
      <c r="A3" s="163" t="s">
        <v>40</v>
      </c>
      <c r="B3" s="164"/>
      <c r="C3" s="164">
        <v>2761266</v>
      </c>
      <c r="D3" s="164">
        <v>826531.86206896557</v>
      </c>
      <c r="E3" s="164">
        <v>826531.86206896557</v>
      </c>
      <c r="F3" s="164">
        <v>172554.89655172423</v>
      </c>
      <c r="G3" s="164"/>
      <c r="H3" s="211">
        <v>927000</v>
      </c>
      <c r="I3" s="211">
        <f>C3*$K$1</f>
        <v>690316.5</v>
      </c>
      <c r="J3" s="180">
        <f>D3*$K$1</f>
        <v>206632.96551724139</v>
      </c>
      <c r="K3" s="180">
        <f>F3*$K$1</f>
        <v>43138.724137931058</v>
      </c>
      <c r="L3" s="181"/>
      <c r="M3" s="182"/>
      <c r="N3" s="182">
        <f>'רבעון 1 -13'!C5</f>
        <v>1089785</v>
      </c>
      <c r="O3" s="182">
        <f>'רבעון 1 -13'!C15</f>
        <v>392637.61</v>
      </c>
      <c r="P3" s="182">
        <f>'רבעון 1 -13'!C39</f>
        <v>121174.60999999999</v>
      </c>
      <c r="Q3" s="183"/>
      <c r="R3" s="184"/>
      <c r="S3" s="191">
        <f>N3/I3</f>
        <v>1.5786744196321543</v>
      </c>
      <c r="T3" s="191">
        <f>O3/J3</f>
        <v>1.900169263975638</v>
      </c>
      <c r="U3" s="203">
        <f>P3/K3</f>
        <v>2.8089521055967777</v>
      </c>
      <c r="V3" s="206" t="s">
        <v>95</v>
      </c>
    </row>
    <row r="4" spans="1:22" ht="30.75" x14ac:dyDescent="0.3">
      <c r="A4" s="165"/>
      <c r="B4" s="69">
        <v>1</v>
      </c>
      <c r="C4" s="69">
        <v>1</v>
      </c>
      <c r="D4" s="69">
        <v>0.29933076424689459</v>
      </c>
      <c r="E4" s="69">
        <v>0.29933076424689459</v>
      </c>
      <c r="F4" s="69">
        <v>6.2491225601490126E-2</v>
      </c>
      <c r="G4" s="69"/>
      <c r="H4" s="166">
        <f>I3/I3</f>
        <v>1</v>
      </c>
      <c r="I4" s="166">
        <f>I3/I3</f>
        <v>1</v>
      </c>
      <c r="J4" s="166">
        <f>J3/$I3</f>
        <v>0.29933076424689459</v>
      </c>
      <c r="K4" s="166">
        <f>K3/$I3</f>
        <v>6.2491225601490126E-2</v>
      </c>
      <c r="L4" s="69"/>
      <c r="M4" s="167">
        <v>1</v>
      </c>
      <c r="N4" s="167">
        <v>1</v>
      </c>
      <c r="O4" s="167">
        <f>O3/N$3</f>
        <v>0.36028905701583336</v>
      </c>
      <c r="P4" s="167">
        <f>P3/N$3</f>
        <v>0.11119129920121858</v>
      </c>
      <c r="Q4" s="168"/>
      <c r="R4" s="169">
        <f>M4/H4</f>
        <v>1</v>
      </c>
      <c r="S4" s="169"/>
      <c r="T4" s="169"/>
      <c r="U4" s="204"/>
      <c r="V4" s="207" t="s">
        <v>100</v>
      </c>
    </row>
    <row r="5" spans="1:22" ht="18.75" x14ac:dyDescent="0.3">
      <c r="A5" s="194" t="s">
        <v>24</v>
      </c>
      <c r="B5" s="195"/>
      <c r="C5" s="195">
        <v>903856</v>
      </c>
      <c r="D5" s="195">
        <v>187063.13793103455</v>
      </c>
      <c r="E5" s="195">
        <v>187063.13793103455</v>
      </c>
      <c r="F5" s="195">
        <v>-27005.700110846112</v>
      </c>
      <c r="G5" s="195"/>
      <c r="H5" s="170"/>
      <c r="I5" s="171">
        <f>C5*$K$1</f>
        <v>225964</v>
      </c>
      <c r="J5" s="171">
        <f>D5*$K$1</f>
        <v>46765.784482758638</v>
      </c>
      <c r="K5" s="171">
        <f>F5*$K$1</f>
        <v>-6751.4250277115279</v>
      </c>
      <c r="L5" s="195"/>
      <c r="M5" s="172"/>
      <c r="N5" s="172">
        <v>370000</v>
      </c>
      <c r="O5" s="172">
        <v>151733</v>
      </c>
      <c r="P5" s="172">
        <f>'רבעון 1 -13'!E39</f>
        <v>62873.564428874277</v>
      </c>
      <c r="Q5" s="198"/>
      <c r="R5" s="173"/>
      <c r="S5" s="169">
        <f>N5/I5-1</f>
        <v>0.63742897098652884</v>
      </c>
      <c r="T5" s="169">
        <f>O5/J5-1</f>
        <v>2.2445301982679262</v>
      </c>
      <c r="U5" s="204">
        <f>-P5/K5-1</f>
        <v>8.3126360984246883</v>
      </c>
      <c r="V5" s="208" t="s">
        <v>96</v>
      </c>
    </row>
    <row r="6" spans="1:22" ht="30.75" x14ac:dyDescent="0.3">
      <c r="A6" s="194"/>
      <c r="B6" s="197">
        <v>0.32733391132907874</v>
      </c>
      <c r="C6" s="197">
        <v>1</v>
      </c>
      <c r="D6" s="197">
        <v>0.20696121719724664</v>
      </c>
      <c r="E6" s="197">
        <v>0.20696121719724664</v>
      </c>
      <c r="F6" s="197">
        <v>-2.9878321448157795E-2</v>
      </c>
      <c r="G6" s="197"/>
      <c r="H6" s="166">
        <f>I5/I$3</f>
        <v>0.32733391132907874</v>
      </c>
      <c r="I6" s="166">
        <f>I5/I5</f>
        <v>1</v>
      </c>
      <c r="J6" s="166">
        <f>J5/$I5</f>
        <v>0.20696121719724664</v>
      </c>
      <c r="K6" s="166">
        <f t="shared" ref="K6" si="0">K5/$I5</f>
        <v>-2.9878321448157795E-2</v>
      </c>
      <c r="L6" s="197"/>
      <c r="M6" s="167">
        <f>N5/N$3</f>
        <v>0.33951651013732065</v>
      </c>
      <c r="N6" s="167">
        <v>1</v>
      </c>
      <c r="O6" s="167">
        <f>O5/N$3</f>
        <v>0.13923205035855696</v>
      </c>
      <c r="P6" s="167">
        <f>P5/N$3</f>
        <v>5.7693549121041562E-2</v>
      </c>
      <c r="Q6" s="198"/>
      <c r="R6" s="169">
        <f>M6/H6</f>
        <v>1.0372176495822774</v>
      </c>
      <c r="S6" s="169"/>
      <c r="T6" s="169"/>
      <c r="U6" s="204"/>
      <c r="V6" s="208" t="s">
        <v>102</v>
      </c>
    </row>
    <row r="7" spans="1:22" ht="18.75" x14ac:dyDescent="0.3">
      <c r="A7" s="165" t="s">
        <v>25</v>
      </c>
      <c r="B7" s="47"/>
      <c r="C7" s="47">
        <v>977943</v>
      </c>
      <c r="D7" s="47">
        <v>510417.68965517241</v>
      </c>
      <c r="E7" s="47">
        <v>510417.68965517241</v>
      </c>
      <c r="F7" s="47">
        <v>278802.12071366963</v>
      </c>
      <c r="G7" s="47"/>
      <c r="H7" s="170"/>
      <c r="I7" s="171">
        <f>C7*$K$1</f>
        <v>244485.75</v>
      </c>
      <c r="J7" s="171">
        <f>D7*$K$1</f>
        <v>127604.4224137931</v>
      </c>
      <c r="K7" s="171">
        <f>F7*$K$1</f>
        <v>69700.530178417408</v>
      </c>
      <c r="L7" s="47"/>
      <c r="M7" s="172"/>
      <c r="N7" s="172">
        <v>386000</v>
      </c>
      <c r="O7" s="172">
        <f>'רבעון 1 -13'!G15</f>
        <v>169494</v>
      </c>
      <c r="P7" s="172">
        <f>'רבעון 1 -13'!G39</f>
        <v>73351.382588638691</v>
      </c>
      <c r="Q7" s="168"/>
      <c r="R7" s="173"/>
      <c r="S7" s="169">
        <f>N7/I7-1</f>
        <v>0.57882412369637093</v>
      </c>
      <c r="T7" s="169">
        <f>O7/J7-1</f>
        <v>0.32827684804189783</v>
      </c>
      <c r="U7" s="204">
        <f>P7/K7-1</f>
        <v>5.2379119654842432E-2</v>
      </c>
      <c r="V7" s="207" t="s">
        <v>97</v>
      </c>
    </row>
    <row r="8" spans="1:22" ht="18.75" x14ac:dyDescent="0.3">
      <c r="A8" s="165"/>
      <c r="B8" s="69">
        <v>0.35416472009578215</v>
      </c>
      <c r="C8" s="69">
        <v>1</v>
      </c>
      <c r="D8" s="69">
        <v>0.5219298974021721</v>
      </c>
      <c r="E8" s="69">
        <v>0.5219298974021721</v>
      </c>
      <c r="F8" s="69">
        <v>0.28509035875676764</v>
      </c>
      <c r="G8" s="69"/>
      <c r="H8" s="166">
        <f>I7/I$3</f>
        <v>0.35416472009578215</v>
      </c>
      <c r="I8" s="166">
        <f>I7/I7</f>
        <v>1</v>
      </c>
      <c r="J8" s="166">
        <f>J7/$I7</f>
        <v>0.5219298974021721</v>
      </c>
      <c r="K8" s="166">
        <f t="shared" ref="K8" si="1">K7/$I7</f>
        <v>0.28509035875676764</v>
      </c>
      <c r="L8" s="69"/>
      <c r="M8" s="167">
        <f>N7/N$3</f>
        <v>0.35419830517028589</v>
      </c>
      <c r="N8" s="167">
        <v>1</v>
      </c>
      <c r="O8" s="167">
        <f>O7/N$3</f>
        <v>0.15552976045733791</v>
      </c>
      <c r="P8" s="167">
        <f>P7/N$3</f>
        <v>6.7308122784437929E-2</v>
      </c>
      <c r="Q8" s="168"/>
      <c r="R8" s="169">
        <f>M8/H8</f>
        <v>1.0000948289668565</v>
      </c>
      <c r="S8" s="169"/>
      <c r="T8" s="169"/>
      <c r="U8" s="204"/>
      <c r="V8" s="207" t="s">
        <v>101</v>
      </c>
    </row>
    <row r="9" spans="1:22" ht="18.75" x14ac:dyDescent="0.3">
      <c r="A9" s="194" t="s">
        <v>37</v>
      </c>
      <c r="B9" s="195"/>
      <c r="C9" s="195">
        <v>294580</v>
      </c>
      <c r="D9" s="195">
        <v>10132.689655172406</v>
      </c>
      <c r="E9" s="195">
        <v>10132.689655172406</v>
      </c>
      <c r="F9" s="195">
        <v>-59635.501638990841</v>
      </c>
      <c r="G9" s="195"/>
      <c r="H9" s="170"/>
      <c r="I9" s="171">
        <f>C9*$K$1</f>
        <v>73645</v>
      </c>
      <c r="J9" s="171">
        <f>D9*$K$1</f>
        <v>2533.1724137931014</v>
      </c>
      <c r="K9" s="171">
        <f>F9*$K$1</f>
        <v>-14908.87540974771</v>
      </c>
      <c r="L9" s="195"/>
      <c r="M9" s="172"/>
      <c r="N9" s="172">
        <v>83794</v>
      </c>
      <c r="O9" s="172">
        <v>3540</v>
      </c>
      <c r="P9" s="172">
        <v>-25420</v>
      </c>
      <c r="Q9" s="198"/>
      <c r="R9" s="173"/>
      <c r="S9" s="169">
        <f>N9/I9-1</f>
        <v>0.13780976305248149</v>
      </c>
      <c r="T9" s="169">
        <f>O9/J9-1</f>
        <v>0.39745718875064773</v>
      </c>
      <c r="U9" s="204">
        <f>-(P9-K9)/K9</f>
        <v>-0.70502464480854898</v>
      </c>
      <c r="V9" s="208" t="s">
        <v>98</v>
      </c>
    </row>
    <row r="10" spans="1:22" ht="18.75" x14ac:dyDescent="0.3">
      <c r="A10" s="196"/>
      <c r="B10" s="197">
        <v>0.10668294905307928</v>
      </c>
      <c r="C10" s="197">
        <v>1</v>
      </c>
      <c r="D10" s="197">
        <v>3.4397072629412745E-2</v>
      </c>
      <c r="E10" s="197">
        <v>3.4397072629412745E-2</v>
      </c>
      <c r="F10" s="197">
        <v>-0.20244246601599172</v>
      </c>
      <c r="G10" s="197"/>
      <c r="H10" s="166">
        <f>I9/I$3</f>
        <v>0.10668294905307928</v>
      </c>
      <c r="I10" s="166">
        <f>I9/I9</f>
        <v>1</v>
      </c>
      <c r="J10" s="166">
        <f>J9/$I9</f>
        <v>3.4397072629412745E-2</v>
      </c>
      <c r="K10" s="166">
        <f t="shared" ref="K10" si="2">K9/$I9</f>
        <v>-0.20244246601599172</v>
      </c>
      <c r="L10" s="197"/>
      <c r="M10" s="167">
        <f>N9/N$3</f>
        <v>7.6890395812017967E-2</v>
      </c>
      <c r="N10" s="167">
        <v>1</v>
      </c>
      <c r="O10" s="212">
        <f>O9/N$3</f>
        <v>3.2483471510435544E-3</v>
      </c>
      <c r="P10" s="167">
        <f>P9/N$3</f>
        <v>-2.3325701858623489E-2</v>
      </c>
      <c r="Q10" s="198"/>
      <c r="R10" s="169">
        <f>M10/H10</f>
        <v>0.72073744206079027</v>
      </c>
      <c r="S10" s="169"/>
      <c r="T10" s="169"/>
      <c r="U10" s="204"/>
      <c r="V10" s="208" t="s">
        <v>103</v>
      </c>
    </row>
    <row r="11" spans="1:22" ht="18.75" x14ac:dyDescent="0.3">
      <c r="A11" s="165" t="s">
        <v>26</v>
      </c>
      <c r="B11" s="47"/>
      <c r="C11" s="47">
        <v>141706</v>
      </c>
      <c r="D11" s="47">
        <v>30118</v>
      </c>
      <c r="E11" s="47">
        <v>30118</v>
      </c>
      <c r="F11" s="47">
        <v>-3443.5836632856845</v>
      </c>
      <c r="G11" s="47"/>
      <c r="H11" s="170"/>
      <c r="I11" s="171">
        <f>C11*$K$1</f>
        <v>35426.5</v>
      </c>
      <c r="J11" s="171">
        <f>D11*$K$1</f>
        <v>7529.5</v>
      </c>
      <c r="K11" s="171">
        <f>F11*$K$1</f>
        <v>-860.89591582142111</v>
      </c>
      <c r="L11" s="47"/>
      <c r="M11" s="172"/>
      <c r="N11" s="172">
        <f>'רבעון 1 -13'!K5</f>
        <v>50689</v>
      </c>
      <c r="O11" s="172">
        <f>'רבעון 1 -13'!K15</f>
        <v>9863</v>
      </c>
      <c r="P11" s="172">
        <f>'רבעון 1 -13'!K39</f>
        <v>-4068.2677148815073</v>
      </c>
      <c r="Q11" s="168"/>
      <c r="R11" s="173"/>
      <c r="S11" s="169">
        <f>N11/I11-1</f>
        <v>0.43082156013153994</v>
      </c>
      <c r="T11" s="169">
        <f>O11/J11-1</f>
        <v>0.30991433694136394</v>
      </c>
      <c r="U11" s="204">
        <f>-P11/K11-1</f>
        <v>-5.7256208794994485</v>
      </c>
      <c r="V11" s="207" t="s">
        <v>94</v>
      </c>
    </row>
    <row r="12" spans="1:22" ht="30.75" x14ac:dyDescent="0.3">
      <c r="A12" s="174"/>
      <c r="B12" s="69">
        <v>5.1319213722980692E-2</v>
      </c>
      <c r="C12" s="69">
        <v>1</v>
      </c>
      <c r="D12" s="69">
        <v>0.2125386363315597</v>
      </c>
      <c r="E12" s="69">
        <v>0.2125386363315597</v>
      </c>
      <c r="F12" s="69">
        <v>-2.4300902313844751E-2</v>
      </c>
      <c r="G12" s="69"/>
      <c r="H12" s="166">
        <f>I11/I$3</f>
        <v>5.1319213722980692E-2</v>
      </c>
      <c r="I12" s="166">
        <f>I11/I11</f>
        <v>1</v>
      </c>
      <c r="J12" s="166">
        <f>J11/$I11</f>
        <v>0.2125386363315597</v>
      </c>
      <c r="K12" s="166">
        <f t="shared" ref="K12" si="3">K11/$I11</f>
        <v>-2.4300902313844751E-2</v>
      </c>
      <c r="L12" s="69"/>
      <c r="M12" s="167">
        <f>N11/N$3</f>
        <v>4.6512844276623368E-2</v>
      </c>
      <c r="N12" s="167">
        <v>1</v>
      </c>
      <c r="O12" s="167">
        <f>O11/N$3</f>
        <v>9.0504090256334959E-3</v>
      </c>
      <c r="P12" s="167">
        <f>P11/N$3</f>
        <v>-3.7330920455700043E-3</v>
      </c>
      <c r="Q12" s="168"/>
      <c r="R12" s="169">
        <f>M12/H12</f>
        <v>0.9063436655069983</v>
      </c>
      <c r="S12" s="169"/>
      <c r="T12" s="169"/>
      <c r="U12" s="204"/>
      <c r="V12" s="207" t="s">
        <v>104</v>
      </c>
    </row>
    <row r="13" spans="1:22" ht="18.75" x14ac:dyDescent="0.3">
      <c r="A13" s="194" t="s">
        <v>27</v>
      </c>
      <c r="B13" s="195"/>
      <c r="C13" s="195">
        <v>388681</v>
      </c>
      <c r="D13" s="195">
        <v>117375</v>
      </c>
      <c r="E13" s="195">
        <v>117375</v>
      </c>
      <c r="F13" s="195">
        <v>25319.971279765552</v>
      </c>
      <c r="G13" s="195"/>
      <c r="H13" s="170"/>
      <c r="I13" s="171">
        <f>C13*$K$1</f>
        <v>97170.25</v>
      </c>
      <c r="J13" s="171">
        <f>D13*$K$1</f>
        <v>29343.75</v>
      </c>
      <c r="K13" s="171">
        <f>F13*$K$1</f>
        <v>6329.992819941388</v>
      </c>
      <c r="L13" s="195"/>
      <c r="M13" s="172"/>
      <c r="N13" s="172">
        <v>191817</v>
      </c>
      <c r="O13" s="172">
        <v>68609</v>
      </c>
      <c r="P13" s="172">
        <v>30397</v>
      </c>
      <c r="Q13" s="198"/>
      <c r="R13" s="173"/>
      <c r="S13" s="169">
        <f>N13/I13-1</f>
        <v>0.97403011724267463</v>
      </c>
      <c r="T13" s="169">
        <f>O13/J13-1</f>
        <v>1.3381128860489881</v>
      </c>
      <c r="U13" s="204">
        <f>P13/K13-1</f>
        <v>3.8020591594101454</v>
      </c>
      <c r="V13" s="208" t="s">
        <v>95</v>
      </c>
    </row>
    <row r="14" spans="1:22" ht="18.75" x14ac:dyDescent="0.3">
      <c r="A14" s="196"/>
      <c r="B14" s="197">
        <v>0.14076188241190815</v>
      </c>
      <c r="C14" s="197">
        <v>1</v>
      </c>
      <c r="D14" s="197">
        <v>0.30198285998029234</v>
      </c>
      <c r="E14" s="197">
        <v>0.30198285998029234</v>
      </c>
      <c r="F14" s="197">
        <v>6.5143321334887871E-2</v>
      </c>
      <c r="G14" s="197"/>
      <c r="H14" s="166">
        <f>I13/I$3</f>
        <v>0.14076188241190815</v>
      </c>
      <c r="I14" s="166">
        <f>I13/I13</f>
        <v>1</v>
      </c>
      <c r="J14" s="166">
        <f>J13/$I13</f>
        <v>0.30198285998029234</v>
      </c>
      <c r="K14" s="166">
        <f t="shared" ref="K14" si="4">K13/$I13</f>
        <v>6.5143321334887871E-2</v>
      </c>
      <c r="L14" s="197"/>
      <c r="M14" s="167">
        <f>N13/N$3</f>
        <v>0.17601361736489307</v>
      </c>
      <c r="N14" s="167">
        <v>1</v>
      </c>
      <c r="O14" s="167">
        <f>O13/N$3</f>
        <v>6.2956454713544413E-2</v>
      </c>
      <c r="P14" s="167">
        <f>P13/N$3</f>
        <v>2.7892657726065233E-2</v>
      </c>
      <c r="Q14" s="198"/>
      <c r="R14" s="169">
        <f>M14/H14</f>
        <v>1.2504352339494054</v>
      </c>
      <c r="S14" s="169"/>
      <c r="T14" s="169"/>
      <c r="U14" s="204"/>
      <c r="V14" s="208" t="s">
        <v>105</v>
      </c>
    </row>
    <row r="15" spans="1:22" ht="18.75" x14ac:dyDescent="0.3">
      <c r="A15" s="165" t="s">
        <v>12</v>
      </c>
      <c r="B15" s="192"/>
      <c r="C15" s="192">
        <v>54500</v>
      </c>
      <c r="D15" s="192">
        <v>54500</v>
      </c>
      <c r="E15" s="192">
        <v>54500</v>
      </c>
      <c r="F15" s="192">
        <v>41592.245143825457</v>
      </c>
      <c r="G15" s="201"/>
      <c r="H15" s="170"/>
      <c r="I15" s="171">
        <f>C15*$K$1</f>
        <v>13625</v>
      </c>
      <c r="J15" s="171">
        <f>D15*$K$1</f>
        <v>13625</v>
      </c>
      <c r="K15" s="171">
        <f>F15*$K$1</f>
        <v>10398.061285956364</v>
      </c>
      <c r="L15" s="201"/>
      <c r="M15" s="172"/>
      <c r="N15" s="172">
        <v>7485</v>
      </c>
      <c r="O15" s="172">
        <v>7485</v>
      </c>
      <c r="P15" s="172">
        <v>2127</v>
      </c>
      <c r="Q15" s="199"/>
      <c r="R15" s="173"/>
      <c r="S15" s="169">
        <f>N15/I15-1</f>
        <v>-0.45064220183486237</v>
      </c>
      <c r="T15" s="169">
        <f>O15/J15-1</f>
        <v>-0.45064220183486237</v>
      </c>
      <c r="U15" s="204">
        <f>P15/K15-1</f>
        <v>-0.7954426367083709</v>
      </c>
      <c r="V15" s="209" t="s">
        <v>99</v>
      </c>
    </row>
    <row r="16" spans="1:22" ht="19.5" thickBot="1" x14ac:dyDescent="0.35">
      <c r="A16" s="175"/>
      <c r="B16" s="193">
        <v>1.9737323387170956E-2</v>
      </c>
      <c r="C16" s="193">
        <v>1</v>
      </c>
      <c r="D16" s="193">
        <v>1</v>
      </c>
      <c r="E16" s="193">
        <v>1</v>
      </c>
      <c r="F16" s="193">
        <v>0.76316046135459559</v>
      </c>
      <c r="G16" s="202"/>
      <c r="H16" s="176">
        <f>I15/I$3</f>
        <v>1.9737323387170956E-2</v>
      </c>
      <c r="I16" s="176">
        <f>I15/I15</f>
        <v>1</v>
      </c>
      <c r="J16" s="176">
        <f>J15/$I15</f>
        <v>1</v>
      </c>
      <c r="K16" s="176">
        <f t="shared" ref="K16" si="5">K15/$I15</f>
        <v>0.76316046135459559</v>
      </c>
      <c r="L16" s="202"/>
      <c r="M16" s="177">
        <f>N15/N$3</f>
        <v>6.8683272388590406E-3</v>
      </c>
      <c r="N16" s="177">
        <v>1</v>
      </c>
      <c r="O16" s="167">
        <f>O15/N$3</f>
        <v>6.8683272388590406E-3</v>
      </c>
      <c r="P16" s="167">
        <f>P15/N$3</f>
        <v>1.9517611271948137E-3</v>
      </c>
      <c r="Q16" s="200"/>
      <c r="R16" s="178">
        <f>M16/H16</f>
        <v>0.34798676112908894</v>
      </c>
      <c r="S16" s="178"/>
      <c r="T16" s="178"/>
      <c r="U16" s="205"/>
      <c r="V16" s="210"/>
    </row>
    <row r="17" ht="15.75" thickTop="1" x14ac:dyDescent="0.25"/>
  </sheetData>
  <mergeCells count="4">
    <mergeCell ref="B1:F1"/>
    <mergeCell ref="M1:P1"/>
    <mergeCell ref="H1:J1"/>
    <mergeCell ref="R1:U1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rightToLeft="1" workbookViewId="0">
      <selection activeCell="G38" sqref="G38"/>
    </sheetView>
  </sheetViews>
  <sheetFormatPr defaultRowHeight="15" x14ac:dyDescent="0.25"/>
  <cols>
    <col min="1" max="1" width="30.140625" customWidth="1"/>
    <col min="2" max="2" width="4.85546875" customWidth="1"/>
    <col min="3" max="3" width="12.5703125" bestFit="1" customWidth="1"/>
    <col min="4" max="4" width="6.28515625" customWidth="1"/>
    <col min="5" max="5" width="11" bestFit="1" customWidth="1"/>
    <col min="6" max="6" width="6" customWidth="1"/>
    <col min="7" max="7" width="11" bestFit="1" customWidth="1"/>
    <col min="8" max="8" width="5.85546875" customWidth="1"/>
    <col min="9" max="9" width="11" bestFit="1" customWidth="1"/>
    <col min="10" max="10" width="5.5703125" customWidth="1"/>
    <col min="11" max="11" width="11" bestFit="1" customWidth="1"/>
    <col min="12" max="12" width="5.42578125" customWidth="1"/>
    <col min="13" max="13" width="11" bestFit="1" customWidth="1"/>
    <col min="14" max="14" width="5.28515625" customWidth="1"/>
    <col min="15" max="15" width="10.7109375" bestFit="1" customWidth="1"/>
    <col min="16" max="16" width="9.85546875" customWidth="1"/>
  </cols>
  <sheetData>
    <row r="1" spans="1:16" x14ac:dyDescent="0.25">
      <c r="A1" s="213" t="s">
        <v>122</v>
      </c>
      <c r="B1" s="213" t="s">
        <v>0</v>
      </c>
      <c r="C1" s="213" t="s">
        <v>40</v>
      </c>
      <c r="D1" s="213"/>
      <c r="E1" s="213" t="s">
        <v>24</v>
      </c>
      <c r="F1" s="213"/>
      <c r="G1" s="213" t="s">
        <v>25</v>
      </c>
      <c r="H1" s="213"/>
      <c r="I1" s="213" t="s">
        <v>37</v>
      </c>
      <c r="J1" s="214"/>
      <c r="K1" s="213" t="s">
        <v>26</v>
      </c>
      <c r="L1" s="214"/>
      <c r="M1" s="213" t="s">
        <v>27</v>
      </c>
      <c r="N1" s="214"/>
      <c r="O1" s="213" t="s">
        <v>12</v>
      </c>
      <c r="P1" s="213"/>
    </row>
    <row r="2" spans="1:16" x14ac:dyDescent="0.25">
      <c r="A2" s="213" t="s">
        <v>20</v>
      </c>
      <c r="B2" s="215"/>
      <c r="C2" s="216">
        <v>2761266</v>
      </c>
      <c r="D2" s="217">
        <v>1</v>
      </c>
      <c r="E2" s="216">
        <v>903856</v>
      </c>
      <c r="F2" s="217">
        <v>0.32733391132907874</v>
      </c>
      <c r="G2" s="216">
        <v>977943</v>
      </c>
      <c r="H2" s="217">
        <v>0.35416472009578215</v>
      </c>
      <c r="I2" s="216">
        <v>294580</v>
      </c>
      <c r="J2" s="217">
        <v>0.10668294905307928</v>
      </c>
      <c r="K2" s="216">
        <v>141706</v>
      </c>
      <c r="L2" s="217">
        <v>5.1319213722980692E-2</v>
      </c>
      <c r="M2" s="216">
        <v>388681</v>
      </c>
      <c r="N2" s="217">
        <v>0.14076188241190815</v>
      </c>
      <c r="O2" s="216">
        <v>54500</v>
      </c>
      <c r="P2" s="217">
        <v>1.9737323387170956E-2</v>
      </c>
    </row>
    <row r="3" spans="1:16" x14ac:dyDescent="0.25">
      <c r="A3" s="213" t="s">
        <v>39</v>
      </c>
      <c r="B3" s="215" t="s">
        <v>2</v>
      </c>
      <c r="C3" s="216">
        <v>2761266</v>
      </c>
      <c r="D3" s="217">
        <v>1</v>
      </c>
      <c r="E3" s="216">
        <v>903856</v>
      </c>
      <c r="F3" s="217">
        <v>1</v>
      </c>
      <c r="G3" s="216">
        <v>977943</v>
      </c>
      <c r="H3" s="217">
        <v>1</v>
      </c>
      <c r="I3" s="216">
        <v>294580</v>
      </c>
      <c r="J3" s="217">
        <v>1</v>
      </c>
      <c r="K3" s="216">
        <v>141706</v>
      </c>
      <c r="L3" s="217">
        <v>1</v>
      </c>
      <c r="M3" s="216">
        <v>388681</v>
      </c>
      <c r="N3" s="217">
        <v>1</v>
      </c>
      <c r="O3" s="216">
        <v>54500</v>
      </c>
      <c r="P3" s="217">
        <v>1</v>
      </c>
    </row>
    <row r="4" spans="1:16" x14ac:dyDescent="0.25">
      <c r="A4" s="213" t="s">
        <v>5</v>
      </c>
      <c r="B4" s="215" t="s">
        <v>4</v>
      </c>
      <c r="C4" s="216">
        <v>826531.86206896557</v>
      </c>
      <c r="D4" s="217">
        <v>0.29933076424689459</v>
      </c>
      <c r="E4" s="216">
        <v>187063.13793103455</v>
      </c>
      <c r="F4" s="217">
        <v>0.20696121719724664</v>
      </c>
      <c r="G4" s="216">
        <v>510417.68965517241</v>
      </c>
      <c r="H4" s="217">
        <v>0.5219298974021721</v>
      </c>
      <c r="I4" s="216">
        <v>10132.689655172406</v>
      </c>
      <c r="J4" s="217">
        <v>3.4397072629412745E-2</v>
      </c>
      <c r="K4" s="216">
        <v>30118</v>
      </c>
      <c r="L4" s="217">
        <v>0.2125386363315597</v>
      </c>
      <c r="M4" s="216">
        <v>117375</v>
      </c>
      <c r="N4" s="217">
        <v>0.30198285998029234</v>
      </c>
      <c r="O4" s="216">
        <v>54500</v>
      </c>
      <c r="P4" s="217">
        <v>1</v>
      </c>
    </row>
    <row r="5" spans="1:16" x14ac:dyDescent="0.25">
      <c r="A5" s="213" t="s">
        <v>35</v>
      </c>
      <c r="B5" s="215"/>
      <c r="C5" s="216">
        <v>826531.86206896557</v>
      </c>
      <c r="D5" s="217">
        <v>0.29933076424689459</v>
      </c>
      <c r="E5" s="216">
        <v>187063.13793103455</v>
      </c>
      <c r="F5" s="217">
        <v>0.20696121719724664</v>
      </c>
      <c r="G5" s="216">
        <v>510417.68965517241</v>
      </c>
      <c r="H5" s="217">
        <v>0.5219298974021721</v>
      </c>
      <c r="I5" s="216">
        <v>10132.689655172406</v>
      </c>
      <c r="J5" s="217">
        <v>3.4397072629412745E-2</v>
      </c>
      <c r="K5" s="216">
        <v>30118</v>
      </c>
      <c r="L5" s="217">
        <v>0.2125386363315597</v>
      </c>
      <c r="M5" s="216">
        <v>117375</v>
      </c>
      <c r="N5" s="217">
        <v>0.30198285998029234</v>
      </c>
      <c r="O5" s="216">
        <v>54500</v>
      </c>
      <c r="P5" s="217">
        <v>1</v>
      </c>
    </row>
    <row r="6" spans="1:16" x14ac:dyDescent="0.25">
      <c r="A6" s="213" t="s">
        <v>16</v>
      </c>
      <c r="B6" s="215" t="s">
        <v>4</v>
      </c>
      <c r="C6" s="216">
        <v>172554.89655172423</v>
      </c>
      <c r="D6" s="217">
        <v>6.2491225601490126E-2</v>
      </c>
      <c r="E6" s="216">
        <v>-27005.700110846112</v>
      </c>
      <c r="F6" s="217">
        <v>-2.9878321448157795E-2</v>
      </c>
      <c r="G6" s="216">
        <v>278802.12071366963</v>
      </c>
      <c r="H6" s="217">
        <v>0.28509035875676764</v>
      </c>
      <c r="I6" s="216">
        <v>-59635.501638990841</v>
      </c>
      <c r="J6" s="217">
        <v>-0.20244246601599172</v>
      </c>
      <c r="K6" s="216">
        <v>-3443.5836632856845</v>
      </c>
      <c r="L6" s="217">
        <v>-2.4300902313844751E-2</v>
      </c>
      <c r="M6" s="216">
        <v>25319.971279765552</v>
      </c>
      <c r="N6" s="217">
        <v>6.5143321334887871E-2</v>
      </c>
      <c r="O6" s="216">
        <v>41592.245143825457</v>
      </c>
      <c r="P6" s="217">
        <v>0.76316046135459559</v>
      </c>
    </row>
    <row r="7" spans="1:16" x14ac:dyDescent="0.25">
      <c r="A7" s="213"/>
      <c r="B7" s="215"/>
      <c r="C7" s="216"/>
      <c r="D7" s="217"/>
      <c r="E7" s="216"/>
      <c r="F7" s="217"/>
      <c r="G7" s="216"/>
      <c r="H7" s="217"/>
      <c r="I7" s="216"/>
      <c r="J7" s="217"/>
      <c r="K7" s="216"/>
      <c r="L7" s="217"/>
      <c r="M7" s="216"/>
      <c r="N7" s="217"/>
      <c r="O7" s="216"/>
      <c r="P7" s="217"/>
    </row>
    <row r="8" spans="1:16" x14ac:dyDescent="0.25">
      <c r="A8" s="213"/>
      <c r="B8" s="213"/>
      <c r="C8" s="218"/>
      <c r="D8" s="214"/>
      <c r="E8" s="218"/>
      <c r="F8" s="214"/>
      <c r="G8" s="218" t="s">
        <v>75</v>
      </c>
      <c r="H8" s="214"/>
      <c r="I8" s="218"/>
      <c r="J8" s="214"/>
      <c r="K8" s="218"/>
      <c r="L8" s="214"/>
      <c r="M8" s="218"/>
      <c r="N8" s="214"/>
      <c r="O8" s="218"/>
      <c r="P8" s="214"/>
    </row>
    <row r="9" spans="1:16" x14ac:dyDescent="0.25">
      <c r="A9" s="213" t="s">
        <v>123</v>
      </c>
      <c r="B9" s="215"/>
      <c r="C9" s="216"/>
      <c r="D9" s="217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6"/>
      <c r="P9" s="217"/>
    </row>
    <row r="10" spans="1:16" x14ac:dyDescent="0.25">
      <c r="A10" s="213" t="s">
        <v>20</v>
      </c>
      <c r="B10" s="215"/>
      <c r="C10" s="216"/>
      <c r="D10" s="217">
        <v>1</v>
      </c>
      <c r="E10" s="216"/>
      <c r="F10" s="217">
        <v>0.32733391132907874</v>
      </c>
      <c r="G10" s="216"/>
      <c r="H10" s="217">
        <v>0.35416472009578215</v>
      </c>
      <c r="I10" s="216"/>
      <c r="J10" s="217">
        <v>0.10668294905307928</v>
      </c>
      <c r="K10" s="216"/>
      <c r="L10" s="217">
        <v>5.1319213722980692E-2</v>
      </c>
      <c r="M10" s="216"/>
      <c r="N10" s="217">
        <v>0.14076188241190815</v>
      </c>
      <c r="O10" s="216"/>
      <c r="P10" s="217">
        <v>1.9737323387170956E-2</v>
      </c>
    </row>
    <row r="11" spans="1:16" x14ac:dyDescent="0.25">
      <c r="A11" s="213" t="s">
        <v>39</v>
      </c>
      <c r="B11" s="215" t="s">
        <v>2</v>
      </c>
      <c r="C11" s="216">
        <v>1067314</v>
      </c>
      <c r="D11" s="217">
        <v>1</v>
      </c>
      <c r="E11" s="216">
        <v>370000</v>
      </c>
      <c r="F11" s="217">
        <v>1</v>
      </c>
      <c r="G11" s="216">
        <v>386000</v>
      </c>
      <c r="H11" s="217">
        <v>1</v>
      </c>
      <c r="I11" s="216">
        <v>83794</v>
      </c>
      <c r="J11" s="217">
        <v>1</v>
      </c>
      <c r="K11" s="216">
        <v>31903</v>
      </c>
      <c r="L11" s="217">
        <v>1</v>
      </c>
      <c r="M11" s="216">
        <v>191817</v>
      </c>
      <c r="N11" s="217">
        <v>1</v>
      </c>
      <c r="O11" s="216">
        <v>3800</v>
      </c>
      <c r="P11" s="217">
        <v>1</v>
      </c>
    </row>
    <row r="12" spans="1:16" x14ac:dyDescent="0.25">
      <c r="A12" s="213" t="s">
        <v>5</v>
      </c>
      <c r="B12" s="215" t="s">
        <v>4</v>
      </c>
      <c r="C12" s="216">
        <v>402151.61</v>
      </c>
      <c r="D12" s="217">
        <v>0.37678847087173972</v>
      </c>
      <c r="E12" s="216">
        <v>159394.60999999999</v>
      </c>
      <c r="F12" s="217">
        <v>0.43079624324324323</v>
      </c>
      <c r="G12" s="216">
        <v>265527</v>
      </c>
      <c r="H12" s="217">
        <v>0.68789378238341969</v>
      </c>
      <c r="I12" s="216">
        <v>13601</v>
      </c>
      <c r="J12" s="217">
        <v>0.162314724204597</v>
      </c>
      <c r="K12" s="216">
        <v>-8923</v>
      </c>
      <c r="L12" s="217">
        <v>-0.27969156505657777</v>
      </c>
      <c r="M12" s="216">
        <v>68899</v>
      </c>
      <c r="N12" s="217">
        <v>0.35919131255311054</v>
      </c>
      <c r="O12" s="216">
        <v>-6612</v>
      </c>
      <c r="P12" s="217">
        <v>-1.74</v>
      </c>
    </row>
    <row r="13" spans="1:16" x14ac:dyDescent="0.25">
      <c r="A13" s="213" t="s">
        <v>35</v>
      </c>
      <c r="B13" s="215" t="s">
        <v>4</v>
      </c>
      <c r="C13" s="216">
        <v>269813</v>
      </c>
      <c r="D13" s="217">
        <v>1</v>
      </c>
      <c r="E13" s="216">
        <v>88318.944617432717</v>
      </c>
      <c r="F13" s="217">
        <v>0.32733391132907874</v>
      </c>
      <c r="G13" s="216">
        <v>95558.245623203271</v>
      </c>
      <c r="H13" s="217">
        <v>0.35416472009578215</v>
      </c>
      <c r="I13" s="216">
        <v>28784.446532858477</v>
      </c>
      <c r="J13" s="217">
        <v>0.10668294905307928</v>
      </c>
      <c r="K13" s="216">
        <v>13846.591012238589</v>
      </c>
      <c r="L13" s="217">
        <v>5.1319213722980692E-2</v>
      </c>
      <c r="M13" s="216">
        <v>37979.385779204174</v>
      </c>
      <c r="N13" s="217">
        <v>0.14076188241190815</v>
      </c>
      <c r="O13" s="216">
        <v>5325.3864350627573</v>
      </c>
      <c r="P13" s="217">
        <v>1.9737323387170956E-2</v>
      </c>
    </row>
    <row r="14" spans="1:16" x14ac:dyDescent="0.25">
      <c r="A14" s="213" t="s">
        <v>16</v>
      </c>
      <c r="B14" s="215" t="s">
        <v>4</v>
      </c>
      <c r="C14" s="216">
        <v>132338.60999999999</v>
      </c>
      <c r="D14" s="217">
        <v>0.12399219910916562</v>
      </c>
      <c r="E14" s="216">
        <v>71075.665382567269</v>
      </c>
      <c r="F14" s="217">
        <v>0.19209639292585748</v>
      </c>
      <c r="G14" s="216">
        <v>169968.75437679671</v>
      </c>
      <c r="H14" s="217">
        <v>0.44033356056164952</v>
      </c>
      <c r="I14" s="216">
        <v>-15183.446532858477</v>
      </c>
      <c r="J14" s="217">
        <v>-0.18119968652717949</v>
      </c>
      <c r="K14" s="216">
        <v>-22769.59101223859</v>
      </c>
      <c r="L14" s="217">
        <v>-0.71371316215523906</v>
      </c>
      <c r="M14" s="216">
        <v>30919.614220795826</v>
      </c>
      <c r="N14" s="217">
        <v>0.16119329475904548</v>
      </c>
      <c r="O14" s="216">
        <v>-11937.386435062757</v>
      </c>
      <c r="P14" s="217">
        <v>-3.141417482911252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rightToLeft="1" tabSelected="1" workbookViewId="0">
      <selection activeCell="L15" sqref="L15"/>
    </sheetView>
  </sheetViews>
  <sheetFormatPr defaultRowHeight="15" x14ac:dyDescent="0.25"/>
  <cols>
    <col min="1" max="1" width="16.28515625" customWidth="1"/>
    <col min="2" max="2" width="12.28515625" bestFit="1" customWidth="1"/>
    <col min="3" max="3" width="12.5703125" customWidth="1"/>
    <col min="5" max="5" width="10.5703125" customWidth="1"/>
    <col min="6" max="6" width="11.85546875" customWidth="1"/>
    <col min="7" max="7" width="11.28515625" customWidth="1"/>
    <col min="8" max="8" width="14.28515625" customWidth="1"/>
    <col min="9" max="9" width="12" customWidth="1"/>
    <col min="10" max="10" width="12.7109375" customWidth="1"/>
  </cols>
  <sheetData>
    <row r="1" spans="1:10" ht="15.75" thickTop="1" x14ac:dyDescent="0.25">
      <c r="A1" s="237" t="s">
        <v>117</v>
      </c>
      <c r="B1" s="238"/>
      <c r="C1" s="238"/>
      <c r="D1" s="238"/>
      <c r="E1" s="238"/>
      <c r="F1" s="238"/>
      <c r="G1" s="238"/>
      <c r="H1" s="239"/>
    </row>
    <row r="2" spans="1:10" x14ac:dyDescent="0.25">
      <c r="A2" s="62" t="s">
        <v>42</v>
      </c>
      <c r="B2" s="63" t="s">
        <v>43</v>
      </c>
      <c r="C2" s="64" t="s">
        <v>44</v>
      </c>
      <c r="D2" s="65" t="s">
        <v>41</v>
      </c>
      <c r="E2" s="65" t="s">
        <v>45</v>
      </c>
      <c r="F2" s="66" t="s">
        <v>46</v>
      </c>
      <c r="G2" s="67" t="s">
        <v>47</v>
      </c>
      <c r="H2" s="68" t="s">
        <v>48</v>
      </c>
    </row>
    <row r="3" spans="1:10" x14ac:dyDescent="0.25">
      <c r="A3" s="45" t="s">
        <v>24</v>
      </c>
      <c r="B3" s="46">
        <v>981589</v>
      </c>
      <c r="C3" s="47">
        <v>1170559</v>
      </c>
      <c r="D3" s="47">
        <f>טבלה1[[#This Row],[2011]]-טבלה1[[#This Row],[2010]]</f>
        <v>188970</v>
      </c>
      <c r="E3" s="69">
        <f>טבלה1[[#This Row],[הפרש]]/טבלה1[[#This Row],[2010]]</f>
        <v>0.1925143822923851</v>
      </c>
      <c r="F3" s="47">
        <v>1264633</v>
      </c>
      <c r="G3" s="47">
        <f>טבלה1[[#This Row],[2012]]-טבלה1[[#This Row],[2011]]</f>
        <v>94074</v>
      </c>
      <c r="H3" s="70">
        <f>טבלה1[[#This Row],[הפרש2]]/טבלה1[[#This Row],[2011]]</f>
        <v>8.0366730767095038E-2</v>
      </c>
    </row>
    <row r="4" spans="1:10" x14ac:dyDescent="0.25">
      <c r="A4" s="45" t="s">
        <v>25</v>
      </c>
      <c r="B4" s="46">
        <v>861447</v>
      </c>
      <c r="C4" s="47">
        <v>954095</v>
      </c>
      <c r="D4" s="47">
        <f>טבלה1[[#This Row],[2011]]-טבלה1[[#This Row],[2010]]</f>
        <v>92648</v>
      </c>
      <c r="E4" s="69">
        <f>טבלה1[[#This Row],[הפרש]]/טבלה1[[#This Row],[2010]]</f>
        <v>0.10754927465067497</v>
      </c>
      <c r="F4" s="47">
        <v>1310701</v>
      </c>
      <c r="G4" s="47">
        <f>טבלה1[[#This Row],[2012]]-טבלה1[[#This Row],[2011]]</f>
        <v>356606</v>
      </c>
      <c r="H4" s="70">
        <f>טבלה1[[#This Row],[הפרש2]]/טבלה1[[#This Row],[2011]]</f>
        <v>0.37376361892683641</v>
      </c>
    </row>
    <row r="5" spans="1:10" x14ac:dyDescent="0.25">
      <c r="A5" s="45" t="s">
        <v>49</v>
      </c>
      <c r="B5" s="46">
        <v>270539</v>
      </c>
      <c r="C5" s="47">
        <v>287535</v>
      </c>
      <c r="D5" s="47">
        <f>טבלה1[[#This Row],[2011]]-טבלה1[[#This Row],[2010]]</f>
        <v>16996</v>
      </c>
      <c r="E5" s="69">
        <f>טבלה1[[#This Row],[הפרש]]/טבלה1[[#This Row],[2010]]</f>
        <v>6.2822735354237283E-2</v>
      </c>
      <c r="F5" s="47">
        <v>334961</v>
      </c>
      <c r="G5" s="47">
        <f>טבלה1[[#This Row],[2012]]-טבלה1[[#This Row],[2011]]</f>
        <v>47426</v>
      </c>
      <c r="H5" s="70">
        <f>טבלה1[[#This Row],[הפרש2]]/טבלה1[[#This Row],[2011]]</f>
        <v>0.1649399203575217</v>
      </c>
    </row>
    <row r="6" spans="1:10" x14ac:dyDescent="0.25">
      <c r="A6" s="45" t="s">
        <v>26</v>
      </c>
      <c r="B6" s="46">
        <v>89219</v>
      </c>
      <c r="C6" s="47">
        <v>116858</v>
      </c>
      <c r="D6" s="47">
        <f>טבלה1[[#This Row],[2011]]-טבלה1[[#This Row],[2010]]</f>
        <v>27639</v>
      </c>
      <c r="E6" s="69">
        <f>טבלה1[[#This Row],[הפרש]]/טבלה1[[#This Row],[2010]]</f>
        <v>0.30978827379818202</v>
      </c>
      <c r="F6" s="47">
        <v>129875</v>
      </c>
      <c r="G6" s="47">
        <f>טבלה1[[#This Row],[2012]]-טבלה1[[#This Row],[2011]]</f>
        <v>13017</v>
      </c>
      <c r="H6" s="70">
        <f>טבלה1[[#This Row],[הפרש2]]/טבלה1[[#This Row],[2011]]</f>
        <v>0.11139160348457101</v>
      </c>
    </row>
    <row r="7" spans="1:10" x14ac:dyDescent="0.25">
      <c r="A7" s="45" t="s">
        <v>50</v>
      </c>
      <c r="B7" s="46">
        <v>384116</v>
      </c>
      <c r="C7" s="47">
        <v>556019</v>
      </c>
      <c r="D7" s="47">
        <f>טבלה1[[#This Row],[2011]]-טבלה1[[#This Row],[2010]]</f>
        <v>171903</v>
      </c>
      <c r="E7" s="69">
        <f>טבלה1[[#This Row],[הפרש]]/טבלה1[[#This Row],[2010]]</f>
        <v>0.44752887148673837</v>
      </c>
      <c r="F7" s="47">
        <v>476284</v>
      </c>
      <c r="G7" s="47">
        <f>טבלה1[[#This Row],[2012]]-טבלה1[[#This Row],[2011]]</f>
        <v>-79735</v>
      </c>
      <c r="H7" s="70">
        <f>טבלה1[[#This Row],[הפרש2]]/טבלה1[[#This Row],[2011]]</f>
        <v>-0.14340337290632155</v>
      </c>
    </row>
    <row r="8" spans="1:10" ht="15.75" thickBot="1" x14ac:dyDescent="0.3">
      <c r="A8" s="51" t="s">
        <v>51</v>
      </c>
      <c r="B8" s="71">
        <f>SUBTOTAL(109,טבלה1[2010])</f>
        <v>2586910</v>
      </c>
      <c r="C8" s="71">
        <f>SUBTOTAL(109,טבלה1[2011])</f>
        <v>3085066</v>
      </c>
      <c r="D8" s="72">
        <f>SUM(D3:D7)</f>
        <v>498156</v>
      </c>
      <c r="E8" s="73">
        <f>טבלה1[[#Totals],[הפרש]]/טבלה1[[#Totals],[2010]]</f>
        <v>0.19256796718865365</v>
      </c>
      <c r="F8" s="72">
        <f>SUM(F3:F7)</f>
        <v>3516454</v>
      </c>
      <c r="G8" s="71">
        <f>SUBTOTAL(109,טבלה1[הפרש2])</f>
        <v>431388</v>
      </c>
      <c r="H8" s="74">
        <f>טבלה1[[#Totals],[הפרש2]]/טבלה1[[#Totals],[2011]]</f>
        <v>0.13983104413325356</v>
      </c>
    </row>
    <row r="9" spans="1:10" ht="16.5" thickTop="1" thickBot="1" x14ac:dyDescent="0.3"/>
    <row r="10" spans="1:10" ht="15.75" thickTop="1" x14ac:dyDescent="0.25">
      <c r="A10" s="244" t="s">
        <v>118</v>
      </c>
      <c r="B10" s="245"/>
      <c r="C10" s="245"/>
      <c r="D10" s="245"/>
      <c r="E10" s="245"/>
      <c r="F10" s="245"/>
      <c r="G10" s="245"/>
      <c r="H10" s="245"/>
      <c r="I10" s="245"/>
      <c r="J10" s="246"/>
    </row>
    <row r="11" spans="1:10" x14ac:dyDescent="0.25">
      <c r="A11" s="39"/>
      <c r="B11" s="240" t="s">
        <v>66</v>
      </c>
      <c r="C11" s="240"/>
      <c r="D11" s="240"/>
      <c r="E11" s="241" t="s">
        <v>67</v>
      </c>
      <c r="F11" s="241"/>
      <c r="G11" s="241"/>
      <c r="H11" s="242" t="s">
        <v>68</v>
      </c>
      <c r="I11" s="242"/>
      <c r="J11" s="243"/>
    </row>
    <row r="12" spans="1:10" ht="30" x14ac:dyDescent="0.25">
      <c r="A12" s="39" t="s">
        <v>42</v>
      </c>
      <c r="B12" s="40" t="s">
        <v>61</v>
      </c>
      <c r="C12" s="40" t="s">
        <v>62</v>
      </c>
      <c r="D12" s="40" t="s">
        <v>63</v>
      </c>
      <c r="E12" s="41" t="s">
        <v>69</v>
      </c>
      <c r="F12" s="42" t="s">
        <v>70</v>
      </c>
      <c r="G12" s="42" t="s">
        <v>64</v>
      </c>
      <c r="H12" s="43" t="s">
        <v>71</v>
      </c>
      <c r="I12" s="43" t="s">
        <v>72</v>
      </c>
      <c r="J12" s="44" t="s">
        <v>65</v>
      </c>
    </row>
    <row r="13" spans="1:10" x14ac:dyDescent="0.25">
      <c r="A13" s="61" t="s">
        <v>52</v>
      </c>
      <c r="B13" s="46">
        <v>512000</v>
      </c>
      <c r="C13" s="47">
        <v>172</v>
      </c>
      <c r="D13" s="47">
        <f>טבלה13[[#This Row],[מכירות בש"ח]]/טבלה13[[#This Row],[מס לקוחות]]</f>
        <v>2976.7441860465115</v>
      </c>
      <c r="E13" s="47">
        <f>טבלה13[[#This Row],[מכירות בש"ח]]*0.8</f>
        <v>409600</v>
      </c>
      <c r="F13" s="48">
        <f>טבלה13[[#This Row],[מס לקוחות]]*0.2</f>
        <v>34.4</v>
      </c>
      <c r="G13" s="265">
        <f>טבלה13[[#This Row],[80%    הכנסות]]/טבלה13[[#This Row],[20%       לקוחות]]</f>
        <v>11906.976744186048</v>
      </c>
      <c r="H13" s="47">
        <f>טבלה13[[#This Row],[מס לקוחות]]-טבלה13[[#This Row],[20%       לקוחות]]</f>
        <v>137.6</v>
      </c>
      <c r="I13" s="47">
        <f>טבלה13[[#This Row],[מכירות בש"ח]]-טבלה13[[#This Row],[20%       לקוחות]]</f>
        <v>511965.6</v>
      </c>
      <c r="J13" s="49">
        <f>טבלה13[[#This Row],[20%       הכנסות]]/טבלה13[[#This Row],[80%             לקוחות]]</f>
        <v>3720.6802325581393</v>
      </c>
    </row>
    <row r="14" spans="1:10" x14ac:dyDescent="0.25">
      <c r="A14" s="61" t="s">
        <v>53</v>
      </c>
      <c r="B14" s="46">
        <v>633000</v>
      </c>
      <c r="C14" s="47">
        <v>173</v>
      </c>
      <c r="D14" s="47">
        <f>טבלה13[[#This Row],[מכירות בש"ח]]/טבלה13[[#This Row],[מס לקוחות]]</f>
        <v>3658.9595375722542</v>
      </c>
      <c r="E14" s="47">
        <f>טבלה13[[#This Row],[מכירות בש"ח]]*0.8</f>
        <v>506400</v>
      </c>
      <c r="F14" s="48">
        <f>טבלה13[[#This Row],[מס לקוחות]]*0.2</f>
        <v>34.6</v>
      </c>
      <c r="G14" s="265">
        <f>טבלה13[[#This Row],[80%    הכנסות]]/טבלה13[[#This Row],[20%       לקוחות]]</f>
        <v>14635.838150289017</v>
      </c>
      <c r="H14" s="47">
        <f>טבלה13[[#This Row],[מס לקוחות]]-טבלה13[[#This Row],[20%       לקוחות]]</f>
        <v>138.4</v>
      </c>
      <c r="I14" s="47">
        <f>טבלה13[[#This Row],[מכירות בש"ח]]-טבלה13[[#This Row],[20%       לקוחות]]</f>
        <v>632965.4</v>
      </c>
      <c r="J14" s="49">
        <f>טבלה13[[#This Row],[20%       הכנסות]]/טבלה13[[#This Row],[80%             לקוחות]]</f>
        <v>4573.4494219653179</v>
      </c>
    </row>
    <row r="15" spans="1:10" x14ac:dyDescent="0.25">
      <c r="A15" s="60" t="s">
        <v>54</v>
      </c>
      <c r="B15" s="46">
        <v>368000</v>
      </c>
      <c r="C15" s="47">
        <v>70</v>
      </c>
      <c r="D15" s="47">
        <f>טבלה13[[#This Row],[מכירות בש"ח]]/טבלה13[[#This Row],[מס לקוחות]]</f>
        <v>5257.1428571428569</v>
      </c>
      <c r="E15" s="47">
        <f>טבלה13[[#This Row],[מכירות בש"ח]]*0.8</f>
        <v>294400</v>
      </c>
      <c r="F15" s="48">
        <f>טבלה13[[#This Row],[מס לקוחות]]*0.2</f>
        <v>14</v>
      </c>
      <c r="G15" s="265">
        <f>טבלה13[[#This Row],[80%    הכנסות]]/טבלה13[[#This Row],[20%       לקוחות]]</f>
        <v>21028.571428571428</v>
      </c>
      <c r="H15" s="47">
        <f>טבלה13[[#This Row],[מס לקוחות]]-טבלה13[[#This Row],[20%       לקוחות]]</f>
        <v>56</v>
      </c>
      <c r="I15" s="47">
        <f>טבלה13[[#This Row],[מכירות בש"ח]]-טבלה13[[#This Row],[20%       לקוחות]]</f>
        <v>367986</v>
      </c>
      <c r="J15" s="49">
        <f>טבלה13[[#This Row],[20%       הכנסות]]/טבלה13[[#This Row],[80%             לקוחות]]</f>
        <v>6571.1785714285716</v>
      </c>
    </row>
    <row r="16" spans="1:10" x14ac:dyDescent="0.25">
      <c r="A16" s="60" t="s">
        <v>55</v>
      </c>
      <c r="B16" s="46">
        <v>195000</v>
      </c>
      <c r="C16" s="47">
        <v>22</v>
      </c>
      <c r="D16" s="47">
        <f>טבלה13[[#This Row],[מכירות בש"ח]]/טבלה13[[#This Row],[מס לקוחות]]</f>
        <v>8863.636363636364</v>
      </c>
      <c r="E16" s="47">
        <f>טבלה13[[#This Row],[מכירות בש"ח]]*0.8</f>
        <v>156000</v>
      </c>
      <c r="F16" s="48">
        <f>טבלה13[[#This Row],[מס לקוחות]]*0.2</f>
        <v>4.4000000000000004</v>
      </c>
      <c r="G16" s="265">
        <f>טבלה13[[#This Row],[80%    הכנסות]]/טבלה13[[#This Row],[20%       לקוחות]]</f>
        <v>35454.545454545449</v>
      </c>
      <c r="H16" s="47">
        <f>טבלה13[[#This Row],[מס לקוחות]]-טבלה13[[#This Row],[20%       לקוחות]]</f>
        <v>17.600000000000001</v>
      </c>
      <c r="I16" s="47">
        <f>טבלה13[[#This Row],[מכירות בש"ח]]-טבלה13[[#This Row],[20%       לקוחות]]</f>
        <v>194995.6</v>
      </c>
      <c r="J16" s="49">
        <f>טבלה13[[#This Row],[20%       הכנסות]]/טבלה13[[#This Row],[80%             לקוחות]]</f>
        <v>11079.295454545454</v>
      </c>
    </row>
    <row r="17" spans="1:10" x14ac:dyDescent="0.25">
      <c r="A17" s="45" t="s">
        <v>56</v>
      </c>
      <c r="B17" s="46">
        <v>1000000</v>
      </c>
      <c r="C17" s="47">
        <v>3000</v>
      </c>
      <c r="D17" s="47">
        <f>טבלה13[[#This Row],[מכירות בש"ח]]/טבלה13[[#This Row],[מס לקוחות]]</f>
        <v>333.33333333333331</v>
      </c>
      <c r="E17" s="47">
        <f>טבלה13[[#This Row],[מכירות בש"ח]]*0.8</f>
        <v>800000</v>
      </c>
      <c r="F17" s="48">
        <f>טבלה13[[#This Row],[מס לקוחות]]*0.2</f>
        <v>600</v>
      </c>
      <c r="G17" s="265">
        <f>טבלה13[[#This Row],[80%    הכנסות]]/טבלה13[[#This Row],[20%       לקוחות]]</f>
        <v>1333.3333333333333</v>
      </c>
      <c r="H17" s="47">
        <f>טבלה13[[#This Row],[מס לקוחות]]-טבלה13[[#This Row],[20%       לקוחות]]</f>
        <v>2400</v>
      </c>
      <c r="I17" s="47">
        <f>טבלה13[[#This Row],[מכירות בש"ח]]-טבלה13[[#This Row],[20%       לקוחות]]</f>
        <v>999400</v>
      </c>
      <c r="J17" s="49">
        <f>טבלה13[[#This Row],[20%       הכנסות]]/טבלה13[[#This Row],[80%             לקוחות]]</f>
        <v>416.41666666666669</v>
      </c>
    </row>
    <row r="18" spans="1:10" x14ac:dyDescent="0.25">
      <c r="A18" s="60" t="s">
        <v>57</v>
      </c>
      <c r="B18" s="46">
        <v>80000</v>
      </c>
      <c r="C18" s="47">
        <v>27</v>
      </c>
      <c r="D18" s="47">
        <f>טבלה13[[#This Row],[מכירות בש"ח]]/טבלה13[[#This Row],[מס לקוחות]]</f>
        <v>2962.962962962963</v>
      </c>
      <c r="E18" s="47">
        <f>טבלה13[[#This Row],[מכירות בש"ח]]*0.8</f>
        <v>64000</v>
      </c>
      <c r="F18" s="48">
        <f>טבלה13[[#This Row],[מס לקוחות]]*0.2</f>
        <v>5.4</v>
      </c>
      <c r="G18" s="265">
        <f>טבלה13[[#This Row],[80%    הכנסות]]/טבלה13[[#This Row],[20%       לקוחות]]</f>
        <v>11851.85185185185</v>
      </c>
      <c r="H18" s="47">
        <f>טבלה13[[#This Row],[מס לקוחות]]-טבלה13[[#This Row],[20%       לקוחות]]</f>
        <v>21.6</v>
      </c>
      <c r="I18" s="47">
        <f>טבלה13[[#This Row],[מכירות בש"ח]]-טבלה13[[#This Row],[20%       לקוחות]]</f>
        <v>79994.600000000006</v>
      </c>
      <c r="J18" s="49">
        <f>טבלה13[[#This Row],[20%       הכנסות]]/טבלה13[[#This Row],[80%             לקוחות]]</f>
        <v>3703.4537037037039</v>
      </c>
    </row>
    <row r="19" spans="1:10" x14ac:dyDescent="0.25">
      <c r="A19" s="45" t="s">
        <v>58</v>
      </c>
      <c r="B19" s="50">
        <v>100000</v>
      </c>
      <c r="C19" s="48">
        <v>15</v>
      </c>
      <c r="D19" s="48">
        <f>טבלה13[[#This Row],[מכירות בש"ח]]/טבלה13[[#This Row],[מס לקוחות]]</f>
        <v>6666.666666666667</v>
      </c>
      <c r="E19" s="48">
        <f>טבלה13[[#This Row],[מכירות בש"ח]]*0.8</f>
        <v>80000</v>
      </c>
      <c r="F19" s="48">
        <f>טבלה13[[#This Row],[מס לקוחות]]*0.2</f>
        <v>3</v>
      </c>
      <c r="G19" s="265">
        <f>טבלה13[[#This Row],[80%    הכנסות]]/טבלה13[[#This Row],[20%       לקוחות]]</f>
        <v>26666.666666666668</v>
      </c>
      <c r="H19" s="47">
        <f>טבלה13[[#This Row],[מס לקוחות]]-טבלה13[[#This Row],[20%       לקוחות]]</f>
        <v>12</v>
      </c>
      <c r="I19" s="47">
        <f>טבלה13[[#This Row],[מכירות בש"ח]]-טבלה13[[#This Row],[20%       לקוחות]]</f>
        <v>99997</v>
      </c>
      <c r="J19" s="49">
        <f>טבלה13[[#This Row],[20%       הכנסות]]/טבלה13[[#This Row],[80%             לקוחות]]</f>
        <v>8333.0833333333339</v>
      </c>
    </row>
    <row r="20" spans="1:10" x14ac:dyDescent="0.25">
      <c r="A20" s="61" t="s">
        <v>59</v>
      </c>
      <c r="B20" s="50">
        <v>682000</v>
      </c>
      <c r="C20" s="48">
        <v>197</v>
      </c>
      <c r="D20" s="48">
        <f>טבלה13[[#This Row],[מכירות בש"ח]]/טבלה13[[#This Row],[מס לקוחות]]</f>
        <v>3461.9289340101523</v>
      </c>
      <c r="E20" s="48">
        <f>טבלה13[[#This Row],[מכירות בש"ח]]*0.8</f>
        <v>545600</v>
      </c>
      <c r="F20" s="48">
        <f>טבלה13[[#This Row],[מס לקוחות]]*0.2</f>
        <v>39.400000000000006</v>
      </c>
      <c r="G20" s="265">
        <f>טבלה13[[#This Row],[80%    הכנסות]]/טבלה13[[#This Row],[20%       לקוחות]]</f>
        <v>13847.715736040607</v>
      </c>
      <c r="H20" s="47">
        <f>טבלה13[[#This Row],[מס לקוחות]]-טבלה13[[#This Row],[20%       לקוחות]]</f>
        <v>157.6</v>
      </c>
      <c r="I20" s="47">
        <f>טבלה13[[#This Row],[מכירות בש"ח]]-טבלה13[[#This Row],[20%       לקוחות]]</f>
        <v>681960.6</v>
      </c>
      <c r="J20" s="49">
        <f>טבלה13[[#This Row],[20%       הכנסות]]/טבלה13[[#This Row],[80%             לקוחות]]</f>
        <v>4327.1611675126906</v>
      </c>
    </row>
    <row r="21" spans="1:10" x14ac:dyDescent="0.25">
      <c r="A21" s="45" t="s">
        <v>60</v>
      </c>
      <c r="B21" s="50">
        <v>130000</v>
      </c>
      <c r="C21" s="48">
        <v>500</v>
      </c>
      <c r="D21" s="48">
        <f>טבלה13[[#This Row],[מכירות בש"ח]]/טבלה13[[#This Row],[מס לקוחות]]</f>
        <v>260</v>
      </c>
      <c r="E21" s="48">
        <f>טבלה13[[#This Row],[מכירות בש"ח]]*0.8</f>
        <v>104000</v>
      </c>
      <c r="F21" s="48">
        <f>טבלה13[[#This Row],[מס לקוחות]]*0.2</f>
        <v>100</v>
      </c>
      <c r="G21" s="265">
        <f>טבלה13[[#This Row],[80%    הכנסות]]/טבלה13[[#This Row],[20%       לקוחות]]</f>
        <v>1040</v>
      </c>
      <c r="H21" s="47">
        <f>טבלה13[[#This Row],[מס לקוחות]]-טבלה13[[#This Row],[20%       לקוחות]]</f>
        <v>400</v>
      </c>
      <c r="I21" s="47">
        <f>טבלה13[[#This Row],[מכירות בש"ח]]-טבלה13[[#This Row],[20%       לקוחות]]</f>
        <v>129900</v>
      </c>
      <c r="J21" s="49">
        <f>טבלה13[[#This Row],[20%       הכנסות]]/טבלה13[[#This Row],[80%             לקוחות]]</f>
        <v>324.75</v>
      </c>
    </row>
    <row r="22" spans="1:10" ht="24" thickBot="1" x14ac:dyDescent="0.4">
      <c r="A22" s="51" t="s">
        <v>51</v>
      </c>
      <c r="B22" s="57">
        <f>SUBTOTAL(109,טבלה13[מכירות בש"ח])</f>
        <v>3700000</v>
      </c>
      <c r="C22" s="58">
        <f>SUBTOTAL(109,טבלה13[מס לקוחות])</f>
        <v>4176</v>
      </c>
      <c r="D22" s="59">
        <f>טבלה13[[#Totals],[מכירות בש"ח]]/טבלה13[[#Totals],[מס לקוחות]]</f>
        <v>886.0153256704981</v>
      </c>
      <c r="E22" s="54">
        <f>SUBTOTAL(109,טבלה13[80%    הכנסות])</f>
        <v>2960000</v>
      </c>
      <c r="F22" s="56">
        <f>SUBTOTAL(109,טבלה13[20%       לקוחות])</f>
        <v>835.19999999999993</v>
      </c>
      <c r="G22" s="53">
        <f>טבלה13[[#Totals],[80%    הכנסות]]/טבלה13[[#Totals],[20%       לקוחות]]</f>
        <v>3544.0613026819924</v>
      </c>
      <c r="H22" s="55">
        <f>טבלה13[[#Totals],[מס לקוחות]]-טבלה13[[#Totals],[20%       לקוחות]]</f>
        <v>3340.8</v>
      </c>
      <c r="I22" s="55">
        <f>טבלה13[[#Totals],[מכירות בש"ח]]-טבלה13[[#Totals],[80%    הכנסות]]</f>
        <v>740000</v>
      </c>
      <c r="J22" s="52">
        <f>טבלה13[[#Totals],[20%       הכנסות]]/טבלה13[[#Totals],[80%             לקוחות]]</f>
        <v>221.5038314176245</v>
      </c>
    </row>
    <row r="23" spans="1:10" ht="15.75" thickTop="1" x14ac:dyDescent="0.25"/>
    <row r="24" spans="1:10" x14ac:dyDescent="0.25">
      <c r="A24" t="s">
        <v>73</v>
      </c>
    </row>
    <row r="25" spans="1:10" x14ac:dyDescent="0.25">
      <c r="A25" t="s">
        <v>119</v>
      </c>
    </row>
    <row r="26" spans="1:10" x14ac:dyDescent="0.25">
      <c r="A26" t="s">
        <v>74</v>
      </c>
    </row>
  </sheetData>
  <mergeCells count="5">
    <mergeCell ref="A1:H1"/>
    <mergeCell ref="B11:D11"/>
    <mergeCell ref="E11:G11"/>
    <mergeCell ref="H11:J11"/>
    <mergeCell ref="A10:J10"/>
  </mergeCells>
  <pageMargins left="0.7" right="0.7" top="0.75" bottom="0.75" header="0.3" footer="0.3"/>
  <pageSetup scale="9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2012</vt:lpstr>
      <vt:lpstr>חצי שנתי 13 </vt:lpstr>
      <vt:lpstr>רבעון 1 -13</vt:lpstr>
      <vt:lpstr>השוואת 2012 לרבעון ראשון 13</vt:lpstr>
      <vt:lpstr>נתוני השוואה 1</vt:lpstr>
      <vt:lpstr>זרמי הכנסות לפי קהל יעד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moshe</dc:creator>
  <cp:lastModifiedBy>phil costeff</cp:lastModifiedBy>
  <cp:lastPrinted>2016-12-20T04:44:40Z</cp:lastPrinted>
  <dcterms:created xsi:type="dcterms:W3CDTF">2012-04-23T13:26:53Z</dcterms:created>
  <dcterms:modified xsi:type="dcterms:W3CDTF">2016-12-20T04:44:54Z</dcterms:modified>
</cp:coreProperties>
</file>